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95" windowWidth="19425" windowHeight="7755" tabRatio="911" firstSheet="1" activeTab="1"/>
  </bookViews>
  <sheets>
    <sheet name="1.Introduction and Instructions" sheetId="8" state="hidden" r:id="rId1"/>
    <sheet name="Instructions" sheetId="13" r:id="rId2"/>
    <sheet name="Farm ID" sheetId="14" r:id="rId3"/>
    <sheet name="Dashboard" sheetId="16" r:id="rId4"/>
    <sheet name="How to lift productivity" sheetId="17" r:id="rId5"/>
    <sheet name="Land &amp; Stocking" sheetId="10" r:id="rId6"/>
    <sheet name="Sheep production" sheetId="1" r:id="rId7"/>
    <sheet name="Cattle production" sheetId="12" r:id="rId8"/>
    <sheet name="4. Livestock Sales Summary" sheetId="6" state="hidden" r:id="rId9"/>
    <sheet name="5. Livestock Purchased Summary" sheetId="9" state="hidden" r:id="rId10"/>
  </sheets>
  <externalReferences>
    <externalReference r:id="rId11"/>
  </externalReferences>
  <definedNames>
    <definedName name="Journal">[1]Data!$A$7:$BG$357</definedName>
    <definedName name="JournalTop">[1]Data!$A$7:$BG$7</definedName>
    <definedName name="_xlnm.Print_Area" localSheetId="3">Dashboard!$A$1:$P$46</definedName>
    <definedName name="_xlnm.Print_Area" localSheetId="2">'Farm ID'!$A$1:$K$19</definedName>
    <definedName name="_xlnm.Print_Area" localSheetId="4">'How to lift productivity'!$A$1:$E$32</definedName>
    <definedName name="_xlnm.Print_Area" localSheetId="1">Instructions!$A$1:$O$60</definedName>
    <definedName name="_xlnm.Print_Area" localSheetId="5">'Land &amp; Stocking'!$B$1:$K$27</definedName>
    <definedName name="SubsidiesTable" localSheetId="7">#REF!</definedName>
    <definedName name="SubsidiesTable" localSheetId="3">#REF!</definedName>
    <definedName name="SubsidiesTable">#REF!</definedName>
    <definedName name="SubsidiesTableTop" localSheetId="7">#REF!</definedName>
    <definedName name="SubsidiesTableTop" localSheetId="3">#REF!</definedName>
    <definedName name="SubsidiesTableTop">#REF!</definedName>
  </definedNames>
  <calcPr calcId="145621"/>
</workbook>
</file>

<file path=xl/calcChain.xml><?xml version="1.0" encoding="utf-8"?>
<calcChain xmlns="http://schemas.openxmlformats.org/spreadsheetml/2006/main">
  <c r="J26" i="10" l="1"/>
  <c r="D18" i="10" s="1"/>
  <c r="C6" i="16" s="1"/>
  <c r="J25" i="10"/>
  <c r="D17" i="10" s="1"/>
  <c r="D6" i="16" s="1"/>
  <c r="C26" i="10"/>
  <c r="M8" i="16"/>
  <c r="L65" i="10" l="1"/>
  <c r="J65" i="10"/>
  <c r="L64" i="10"/>
  <c r="J64" i="10"/>
  <c r="L63" i="10"/>
  <c r="J63" i="10"/>
  <c r="L62" i="10"/>
  <c r="J62" i="10"/>
  <c r="J66" i="10" s="1"/>
  <c r="L60" i="10"/>
  <c r="J60" i="10"/>
  <c r="L59" i="10"/>
  <c r="J59" i="10"/>
  <c r="L58" i="10"/>
  <c r="J58" i="10"/>
  <c r="L57" i="10"/>
  <c r="J57" i="10"/>
  <c r="D57" i="10"/>
  <c r="L56" i="10"/>
  <c r="J56" i="10"/>
  <c r="L55" i="10"/>
  <c r="J55" i="10"/>
  <c r="L54" i="10"/>
  <c r="J54" i="10"/>
  <c r="L53" i="10"/>
  <c r="J53" i="10"/>
  <c r="C53" i="10"/>
  <c r="L52" i="10"/>
  <c r="J52" i="10"/>
  <c r="L51" i="10"/>
  <c r="J51" i="10"/>
  <c r="L50" i="10"/>
  <c r="J50" i="10"/>
  <c r="L49" i="10"/>
  <c r="J49" i="10"/>
  <c r="C68" i="10" l="1"/>
  <c r="J61" i="10"/>
  <c r="J67" i="10" s="1"/>
  <c r="B18" i="14"/>
  <c r="B17" i="14"/>
  <c r="B16" i="14"/>
  <c r="B15" i="14"/>
  <c r="B14" i="14"/>
  <c r="F18" i="16" l="1"/>
  <c r="F23" i="16"/>
  <c r="F22" i="16"/>
  <c r="F21" i="16"/>
  <c r="F20" i="16"/>
  <c r="F19" i="16"/>
  <c r="C67" i="10"/>
  <c r="C69" i="10" s="1"/>
  <c r="J68" i="10"/>
  <c r="D60" i="10" s="1"/>
  <c r="J69" i="10"/>
  <c r="D61" i="10" s="1"/>
  <c r="G2" i="16"/>
  <c r="J22" i="10" l="1"/>
  <c r="L7" i="10"/>
  <c r="L8" i="10"/>
  <c r="L9" i="10"/>
  <c r="L10" i="10"/>
  <c r="L11" i="10"/>
  <c r="L12" i="10"/>
  <c r="L13" i="10"/>
  <c r="L14" i="10"/>
  <c r="L15" i="10"/>
  <c r="L16" i="10"/>
  <c r="L17" i="10"/>
  <c r="L19" i="10"/>
  <c r="L20" i="10"/>
  <c r="L21" i="10"/>
  <c r="L22" i="10"/>
  <c r="L6" i="10"/>
  <c r="H1" i="12" l="1"/>
  <c r="B1" i="12"/>
  <c r="F1" i="1"/>
  <c r="A1" i="1"/>
  <c r="G1" i="10" l="1"/>
  <c r="B1" i="10"/>
  <c r="F20" i="12" l="1"/>
  <c r="G20" i="12"/>
  <c r="H20" i="12"/>
  <c r="I20" i="12"/>
  <c r="J20" i="12"/>
  <c r="K20" i="12"/>
  <c r="F16" i="12"/>
  <c r="G16" i="12"/>
  <c r="H16" i="12"/>
  <c r="I16" i="12"/>
  <c r="J16" i="12"/>
  <c r="K16" i="12"/>
  <c r="D12" i="12"/>
  <c r="E12" i="12"/>
  <c r="F12" i="12"/>
  <c r="G12" i="12"/>
  <c r="H12" i="12"/>
  <c r="I12" i="12"/>
  <c r="J12" i="12"/>
  <c r="K12" i="12"/>
  <c r="D8" i="12"/>
  <c r="E8" i="12"/>
  <c r="F8" i="12"/>
  <c r="G8" i="12"/>
  <c r="H8" i="12"/>
  <c r="I8" i="12"/>
  <c r="J8" i="12"/>
  <c r="K8" i="12"/>
  <c r="L8" i="12"/>
  <c r="C8" i="12"/>
  <c r="E20" i="1"/>
  <c r="F20" i="1"/>
  <c r="E16" i="1"/>
  <c r="F16" i="1"/>
  <c r="E12" i="1"/>
  <c r="F12" i="1"/>
  <c r="E8" i="1"/>
  <c r="F8" i="1"/>
  <c r="L20" i="12"/>
  <c r="E20" i="12"/>
  <c r="D20" i="12"/>
  <c r="C20" i="12"/>
  <c r="M8" i="12" l="1"/>
  <c r="C23" i="12" s="1"/>
  <c r="M20" i="12"/>
  <c r="C26" i="12" s="1"/>
  <c r="C12" i="12"/>
  <c r="L12" i="12"/>
  <c r="L16" i="12"/>
  <c r="C16" i="12"/>
  <c r="D16" i="12"/>
  <c r="E16" i="12"/>
  <c r="M12" i="12" l="1"/>
  <c r="C24" i="12" s="1"/>
  <c r="M16" i="12"/>
  <c r="C25" i="12" s="1"/>
  <c r="J21" i="10"/>
  <c r="J20" i="10"/>
  <c r="J19" i="10"/>
  <c r="J17" i="10"/>
  <c r="J16" i="10"/>
  <c r="J15" i="10"/>
  <c r="J14" i="10"/>
  <c r="J13" i="10"/>
  <c r="J12" i="10"/>
  <c r="J11" i="10"/>
  <c r="J10" i="10"/>
  <c r="C10" i="10"/>
  <c r="J9" i="10"/>
  <c r="J8" i="10"/>
  <c r="J7" i="10"/>
  <c r="J6" i="10"/>
  <c r="J23" i="10" l="1"/>
  <c r="D14" i="10"/>
  <c r="C27" i="12"/>
  <c r="D5" i="16" s="1"/>
  <c r="J18" i="10"/>
  <c r="C25" i="10" l="1"/>
  <c r="M6" i="16" s="1"/>
  <c r="J24" i="10"/>
  <c r="D8" i="16" s="1"/>
  <c r="C24" i="10" l="1"/>
  <c r="E14" i="6"/>
  <c r="F14" i="6"/>
  <c r="F37" i="16" l="1"/>
  <c r="M5" i="16"/>
  <c r="E6" i="16"/>
  <c r="C23" i="9"/>
  <c r="D23" i="9"/>
  <c r="E23" i="9"/>
  <c r="F23" i="9"/>
  <c r="B23" i="9"/>
  <c r="B4" i="9"/>
  <c r="B3" i="9"/>
  <c r="B1" i="9"/>
  <c r="B4" i="6"/>
  <c r="B3" i="6"/>
  <c r="B1" i="6"/>
  <c r="H30" i="9"/>
  <c r="H31" i="9"/>
  <c r="H32" i="9"/>
  <c r="H33" i="9"/>
  <c r="H34" i="9"/>
  <c r="H35" i="9"/>
  <c r="H36" i="9"/>
  <c r="H37" i="9"/>
  <c r="H38" i="9"/>
  <c r="H39" i="9"/>
  <c r="H29" i="9"/>
  <c r="D40" i="9"/>
  <c r="E40" i="9"/>
  <c r="F40" i="9"/>
  <c r="C40" i="9"/>
  <c r="C37" i="16" l="1"/>
  <c r="D38" i="16"/>
  <c r="D32" i="16"/>
  <c r="G39" i="16"/>
  <c r="C40" i="16"/>
  <c r="D33" i="16"/>
  <c r="E34" i="16"/>
  <c r="C33" i="16"/>
  <c r="F32" i="16"/>
  <c r="E33" i="16"/>
  <c r="F36" i="16"/>
  <c r="D39" i="16"/>
  <c r="E35" i="16"/>
  <c r="C39" i="16"/>
  <c r="F34" i="16"/>
  <c r="C36" i="16"/>
  <c r="C35" i="16"/>
  <c r="E37" i="16"/>
  <c r="E41" i="16"/>
  <c r="G36" i="16"/>
  <c r="G37" i="16"/>
  <c r="G41" i="16"/>
  <c r="E32" i="16"/>
  <c r="G35" i="16"/>
  <c r="E40" i="16"/>
  <c r="D35" i="16"/>
  <c r="F33" i="16"/>
  <c r="F39" i="16"/>
  <c r="D36" i="16"/>
  <c r="E39" i="16"/>
  <c r="D37" i="16"/>
  <c r="C34" i="16"/>
  <c r="G40" i="16"/>
  <c r="D41" i="16"/>
  <c r="C38" i="16"/>
  <c r="E38" i="16"/>
  <c r="F41" i="16"/>
  <c r="F40" i="16"/>
  <c r="G32" i="16"/>
  <c r="G38" i="16"/>
  <c r="D40" i="16"/>
  <c r="G33" i="16"/>
  <c r="E36" i="16"/>
  <c r="F38" i="16"/>
  <c r="G34" i="16"/>
  <c r="C32" i="16"/>
  <c r="C41" i="16"/>
  <c r="D34" i="16"/>
  <c r="F35" i="16"/>
  <c r="H28" i="9"/>
  <c r="H9" i="9"/>
  <c r="J9" i="9" s="1"/>
  <c r="C42" i="6"/>
  <c r="D14" i="6"/>
  <c r="C14" i="6"/>
  <c r="B14" i="6"/>
  <c r="G12" i="6"/>
  <c r="E9" i="6"/>
  <c r="D9" i="6"/>
  <c r="C9" i="6"/>
  <c r="B9" i="6"/>
  <c r="F7" i="6"/>
  <c r="I9" i="9" l="1"/>
  <c r="F9" i="6"/>
  <c r="G14" i="6"/>
  <c r="D42" i="6" l="1"/>
  <c r="E42" i="6"/>
  <c r="F42" i="6"/>
  <c r="B42" i="6"/>
  <c r="I27" i="6"/>
  <c r="J27" i="6" s="1"/>
  <c r="K27" i="6" s="1"/>
  <c r="I28" i="6"/>
  <c r="J28" i="6" s="1"/>
  <c r="I29" i="6"/>
  <c r="J29" i="6" s="1"/>
  <c r="I30" i="6"/>
  <c r="J30" i="6" s="1"/>
  <c r="O30" i="6" s="1"/>
  <c r="I31" i="6"/>
  <c r="C66" i="6"/>
  <c r="D66" i="6"/>
  <c r="E66" i="6"/>
  <c r="B66" i="6"/>
  <c r="I20" i="6"/>
  <c r="J20" i="6" s="1"/>
  <c r="I21" i="6"/>
  <c r="J21" i="6" s="1"/>
  <c r="I22" i="6"/>
  <c r="J22" i="6" s="1"/>
  <c r="I23" i="6"/>
  <c r="J23" i="6" s="1"/>
  <c r="I24" i="6"/>
  <c r="I25" i="6"/>
  <c r="J25" i="6" s="1"/>
  <c r="I26" i="6"/>
  <c r="J26" i="6" s="1"/>
  <c r="I32" i="6"/>
  <c r="J32" i="6" s="1"/>
  <c r="I33" i="6"/>
  <c r="I34" i="6"/>
  <c r="I35" i="6"/>
  <c r="J35" i="6" s="1"/>
  <c r="I36" i="6"/>
  <c r="J36" i="6" s="1"/>
  <c r="I37" i="6"/>
  <c r="J37" i="6" s="1"/>
  <c r="I38" i="6"/>
  <c r="I39" i="6"/>
  <c r="J39" i="6" s="1"/>
  <c r="I40" i="6"/>
  <c r="J40" i="6" s="1"/>
  <c r="I41" i="6"/>
  <c r="I39" i="9"/>
  <c r="I38" i="9"/>
  <c r="I37" i="9"/>
  <c r="I36" i="9"/>
  <c r="I35" i="9"/>
  <c r="I34" i="9"/>
  <c r="I33" i="9"/>
  <c r="I32" i="9"/>
  <c r="I31" i="9"/>
  <c r="I30" i="9"/>
  <c r="I28" i="9"/>
  <c r="H22" i="9"/>
  <c r="H21" i="9"/>
  <c r="H20" i="9"/>
  <c r="H19" i="9"/>
  <c r="H18" i="9"/>
  <c r="H17" i="9"/>
  <c r="H16" i="9"/>
  <c r="H15" i="9"/>
  <c r="H14" i="9"/>
  <c r="H13" i="9"/>
  <c r="H12" i="9"/>
  <c r="H11" i="9"/>
  <c r="H10" i="9"/>
  <c r="M9" i="9"/>
  <c r="H23" i="9" l="1"/>
  <c r="J38" i="6"/>
  <c r="L38" i="6" s="1"/>
  <c r="J34" i="6"/>
  <c r="O34" i="6" s="1"/>
  <c r="J41" i="6"/>
  <c r="L41" i="6" s="1"/>
  <c r="J33" i="6"/>
  <c r="K33" i="6" s="1"/>
  <c r="J24" i="6"/>
  <c r="L24" i="6" s="1"/>
  <c r="J31" i="6"/>
  <c r="M31" i="6" s="1"/>
  <c r="J12" i="9"/>
  <c r="I12" i="9"/>
  <c r="I20" i="9"/>
  <c r="J20" i="9"/>
  <c r="M17" i="9"/>
  <c r="J17" i="9"/>
  <c r="L14" i="9"/>
  <c r="J14" i="9"/>
  <c r="L22" i="9"/>
  <c r="J22" i="9"/>
  <c r="I16" i="9"/>
  <c r="J16" i="9"/>
  <c r="I29" i="9"/>
  <c r="I40" i="9" s="1"/>
  <c r="I41" i="9" s="1"/>
  <c r="H40" i="9"/>
  <c r="M13" i="9"/>
  <c r="J13" i="9"/>
  <c r="I13" i="9"/>
  <c r="M21" i="9"/>
  <c r="J21" i="9"/>
  <c r="L10" i="9"/>
  <c r="I10" i="9"/>
  <c r="J10" i="9"/>
  <c r="L18" i="9"/>
  <c r="J18" i="9"/>
  <c r="K11" i="9"/>
  <c r="I11" i="9"/>
  <c r="J11" i="9"/>
  <c r="K15" i="9"/>
  <c r="J15" i="9"/>
  <c r="K19" i="9"/>
  <c r="J19" i="9"/>
  <c r="N40" i="6"/>
  <c r="L40" i="6"/>
  <c r="N32" i="6"/>
  <c r="L32" i="6"/>
  <c r="O35" i="6"/>
  <c r="L35" i="6"/>
  <c r="O22" i="6"/>
  <c r="L22" i="6"/>
  <c r="N27" i="6"/>
  <c r="L27" i="6"/>
  <c r="O25" i="6"/>
  <c r="L25" i="6"/>
  <c r="K30" i="6"/>
  <c r="L30" i="6"/>
  <c r="K28" i="6"/>
  <c r="L28" i="6"/>
  <c r="O36" i="6"/>
  <c r="L36" i="6"/>
  <c r="O23" i="6"/>
  <c r="L23" i="6"/>
  <c r="N29" i="6"/>
  <c r="L29" i="6"/>
  <c r="O39" i="6"/>
  <c r="L39" i="6"/>
  <c r="O26" i="6"/>
  <c r="L26" i="6"/>
  <c r="K37" i="6"/>
  <c r="L37" i="6"/>
  <c r="L20" i="6"/>
  <c r="K20" i="6"/>
  <c r="L12" i="9"/>
  <c r="O21" i="6"/>
  <c r="L21" i="6"/>
  <c r="K29" i="6"/>
  <c r="O27" i="6"/>
  <c r="O28" i="6"/>
  <c r="M27" i="6"/>
  <c r="O29" i="6"/>
  <c r="M29" i="6"/>
  <c r="N30" i="6"/>
  <c r="N28" i="6"/>
  <c r="M30" i="6"/>
  <c r="M28" i="6"/>
  <c r="N39" i="6"/>
  <c r="O38" i="6"/>
  <c r="K38" i="6"/>
  <c r="N37" i="6"/>
  <c r="O37" i="6"/>
  <c r="M37" i="6"/>
  <c r="K24" i="6"/>
  <c r="N24" i="6"/>
  <c r="O24" i="6"/>
  <c r="K25" i="6"/>
  <c r="M21" i="6"/>
  <c r="N26" i="6"/>
  <c r="N36" i="6"/>
  <c r="N23" i="6"/>
  <c r="O40" i="6"/>
  <c r="O32" i="6"/>
  <c r="K21" i="6"/>
  <c r="M39" i="6"/>
  <c r="M26" i="6"/>
  <c r="N38" i="6"/>
  <c r="N35" i="6"/>
  <c r="N25" i="6"/>
  <c r="N22" i="6"/>
  <c r="M38" i="6"/>
  <c r="M35" i="6"/>
  <c r="M25" i="6"/>
  <c r="M22" i="6"/>
  <c r="N21" i="6"/>
  <c r="M40" i="6"/>
  <c r="M36" i="6"/>
  <c r="M32" i="6"/>
  <c r="M23" i="6"/>
  <c r="K40" i="6"/>
  <c r="K39" i="6"/>
  <c r="K36" i="6"/>
  <c r="K35" i="6"/>
  <c r="K32" i="6"/>
  <c r="K26" i="6"/>
  <c r="K23" i="6"/>
  <c r="K22" i="6"/>
  <c r="J35" i="9"/>
  <c r="L31" i="9"/>
  <c r="K34" i="9"/>
  <c r="K17" i="9"/>
  <c r="L34" i="9"/>
  <c r="J34" i="9"/>
  <c r="L21" i="9"/>
  <c r="L38" i="9"/>
  <c r="J31" i="9"/>
  <c r="K20" i="9"/>
  <c r="K30" i="9"/>
  <c r="K9" i="9"/>
  <c r="L13" i="9"/>
  <c r="I18" i="9"/>
  <c r="L20" i="9"/>
  <c r="L30" i="9"/>
  <c r="L39" i="9"/>
  <c r="K12" i="9"/>
  <c r="I17" i="9"/>
  <c r="L35" i="9"/>
  <c r="K38" i="9"/>
  <c r="J38" i="9"/>
  <c r="J30" i="9"/>
  <c r="K16" i="9"/>
  <c r="K33" i="9"/>
  <c r="K37" i="9"/>
  <c r="L9" i="9"/>
  <c r="I14" i="9"/>
  <c r="L16" i="9"/>
  <c r="L17" i="9"/>
  <c r="I21" i="9"/>
  <c r="I22" i="9"/>
  <c r="L29" i="9"/>
  <c r="K32" i="9"/>
  <c r="L33" i="9"/>
  <c r="K36" i="9"/>
  <c r="L37" i="9"/>
  <c r="J37" i="9"/>
  <c r="J33" i="9"/>
  <c r="J29" i="9"/>
  <c r="K29" i="9"/>
  <c r="K13" i="9"/>
  <c r="K21" i="9"/>
  <c r="K31" i="9"/>
  <c r="L32" i="9"/>
  <c r="K35" i="9"/>
  <c r="L36" i="9"/>
  <c r="K39" i="9"/>
  <c r="J36" i="9"/>
  <c r="J32" i="9"/>
  <c r="J39" i="9"/>
  <c r="J28" i="9"/>
  <c r="K28" i="9"/>
  <c r="L28" i="9"/>
  <c r="M10" i="9"/>
  <c r="L11" i="9"/>
  <c r="M14" i="9"/>
  <c r="L15" i="9"/>
  <c r="M18" i="9"/>
  <c r="L19" i="9"/>
  <c r="M22" i="9"/>
  <c r="M15" i="9"/>
  <c r="K10" i="9"/>
  <c r="K14" i="9"/>
  <c r="I15" i="9"/>
  <c r="M16" i="9"/>
  <c r="M11" i="9"/>
  <c r="M19" i="9"/>
  <c r="M12" i="9"/>
  <c r="K18" i="9"/>
  <c r="I19" i="9"/>
  <c r="M20" i="9"/>
  <c r="K22" i="9"/>
  <c r="M41" i="6" l="1"/>
  <c r="N31" i="6"/>
  <c r="N42" i="6" s="1"/>
  <c r="N43" i="6" s="1"/>
  <c r="L23" i="9"/>
  <c r="K23" i="9"/>
  <c r="I23" i="9"/>
  <c r="I24" i="9" s="1"/>
  <c r="M23" i="9"/>
  <c r="M24" i="9" s="1"/>
  <c r="J23" i="9"/>
  <c r="J24" i="9" s="1"/>
  <c r="M24" i="6"/>
  <c r="N41" i="6"/>
  <c r="K41" i="6"/>
  <c r="O41" i="6"/>
  <c r="M34" i="6"/>
  <c r="N33" i="6"/>
  <c r="K31" i="6"/>
  <c r="K42" i="6" s="1"/>
  <c r="K43" i="6" s="1"/>
  <c r="L31" i="6"/>
  <c r="L33" i="6"/>
  <c r="L34" i="6"/>
  <c r="O33" i="6"/>
  <c r="N34" i="6"/>
  <c r="O31" i="6"/>
  <c r="K34" i="6"/>
  <c r="M33" i="6"/>
  <c r="M42" i="6" s="1"/>
  <c r="M43" i="6" s="1"/>
  <c r="J42" i="6"/>
  <c r="K40" i="9"/>
  <c r="K41" i="9" s="1"/>
  <c r="L40" i="9"/>
  <c r="L41" i="9" s="1"/>
  <c r="J40" i="9"/>
  <c r="J41" i="9" s="1"/>
  <c r="L24" i="9"/>
  <c r="K24" i="9"/>
  <c r="L42" i="6" l="1"/>
  <c r="L43" i="6" s="1"/>
  <c r="O42" i="6"/>
  <c r="O43" i="6" s="1"/>
  <c r="G20" i="1"/>
  <c r="G16" i="1"/>
  <c r="G8" i="1"/>
  <c r="H49" i="6" l="1"/>
  <c r="I49" i="6" s="1"/>
  <c r="H50" i="6"/>
  <c r="I50" i="6" s="1"/>
  <c r="H51" i="6"/>
  <c r="I51" i="6" s="1"/>
  <c r="H52" i="6"/>
  <c r="I52" i="6" s="1"/>
  <c r="H53" i="6"/>
  <c r="I53" i="6" s="1"/>
  <c r="H54" i="6"/>
  <c r="I54" i="6" s="1"/>
  <c r="H55" i="6"/>
  <c r="I55" i="6" s="1"/>
  <c r="H56" i="6"/>
  <c r="I56" i="6" s="1"/>
  <c r="H57" i="6"/>
  <c r="I57" i="6" s="1"/>
  <c r="H58" i="6"/>
  <c r="I58" i="6" s="1"/>
  <c r="H59" i="6"/>
  <c r="I59" i="6" s="1"/>
  <c r="H60" i="6"/>
  <c r="I60" i="6" s="1"/>
  <c r="H61" i="6"/>
  <c r="I61" i="6" s="1"/>
  <c r="H62" i="6"/>
  <c r="I62" i="6" s="1"/>
  <c r="H63" i="6"/>
  <c r="I63" i="6" s="1"/>
  <c r="H64" i="6"/>
  <c r="I64" i="6" s="1"/>
  <c r="H65" i="6"/>
  <c r="I65" i="6" s="1"/>
  <c r="H48" i="6"/>
  <c r="I48" i="6" s="1"/>
  <c r="I19" i="6"/>
  <c r="J19" i="6" l="1"/>
  <c r="L19" i="6" s="1"/>
  <c r="I66" i="6"/>
  <c r="K63" i="6"/>
  <c r="M63" i="6"/>
  <c r="L63" i="6"/>
  <c r="J63" i="6"/>
  <c r="K59" i="6"/>
  <c r="M59" i="6"/>
  <c r="L59" i="6"/>
  <c r="J59" i="6"/>
  <c r="K55" i="6"/>
  <c r="M55" i="6"/>
  <c r="L55" i="6"/>
  <c r="J55" i="6"/>
  <c r="K51" i="6"/>
  <c r="L51" i="6"/>
  <c r="M51" i="6"/>
  <c r="J51" i="6"/>
  <c r="M48" i="6"/>
  <c r="L48" i="6"/>
  <c r="K48" i="6"/>
  <c r="J48" i="6"/>
  <c r="K62" i="6"/>
  <c r="M62" i="6"/>
  <c r="L62" i="6"/>
  <c r="J62" i="6"/>
  <c r="K58" i="6"/>
  <c r="J58" i="6"/>
  <c r="M58" i="6"/>
  <c r="L58" i="6"/>
  <c r="K54" i="6"/>
  <c r="M54" i="6"/>
  <c r="L54" i="6"/>
  <c r="J54" i="6"/>
  <c r="J65" i="6"/>
  <c r="M65" i="6"/>
  <c r="L65" i="6"/>
  <c r="K65" i="6"/>
  <c r="L61" i="6"/>
  <c r="K61" i="6"/>
  <c r="J61" i="6"/>
  <c r="M61" i="6"/>
  <c r="J57" i="6"/>
  <c r="M57" i="6"/>
  <c r="L57" i="6"/>
  <c r="K57" i="6"/>
  <c r="L53" i="6"/>
  <c r="K53" i="6"/>
  <c r="J53" i="6"/>
  <c r="M53" i="6"/>
  <c r="M49" i="6"/>
  <c r="L49" i="6"/>
  <c r="K49" i="6"/>
  <c r="J49" i="6"/>
  <c r="K64" i="6"/>
  <c r="L64" i="6"/>
  <c r="M64" i="6"/>
  <c r="J64" i="6"/>
  <c r="K60" i="6"/>
  <c r="L60" i="6"/>
  <c r="J60" i="6"/>
  <c r="M60" i="6"/>
  <c r="K56" i="6"/>
  <c r="L56" i="6"/>
  <c r="M56" i="6"/>
  <c r="J56" i="6"/>
  <c r="K52" i="6"/>
  <c r="L52" i="6"/>
  <c r="J52" i="6"/>
  <c r="M52" i="6"/>
  <c r="M50" i="6"/>
  <c r="L50" i="6"/>
  <c r="K50" i="6"/>
  <c r="J50" i="6"/>
  <c r="M20" i="6"/>
  <c r="N20" i="6"/>
  <c r="O20" i="6"/>
  <c r="C16" i="1"/>
  <c r="D16" i="1"/>
  <c r="B16" i="1"/>
  <c r="D20" i="1"/>
  <c r="C20" i="1"/>
  <c r="B20" i="1"/>
  <c r="C8" i="1"/>
  <c r="D8" i="1"/>
  <c r="B8" i="1"/>
  <c r="H16" i="1" l="1"/>
  <c r="B25" i="1" s="1"/>
  <c r="H20" i="1"/>
  <c r="B26" i="1" s="1"/>
  <c r="H8" i="1"/>
  <c r="B23" i="1" s="1"/>
  <c r="N19" i="6"/>
  <c r="M19" i="6"/>
  <c r="O19" i="6"/>
  <c r="K19" i="6"/>
  <c r="K66" i="6"/>
  <c r="K67" i="6" s="1"/>
  <c r="C12" i="1" s="1"/>
  <c r="M66" i="6"/>
  <c r="M67" i="6" s="1"/>
  <c r="L66" i="6"/>
  <c r="L67" i="6" s="1"/>
  <c r="J66" i="6"/>
  <c r="J67" i="6" s="1"/>
  <c r="B12" i="1" s="1"/>
  <c r="D12" i="1" l="1"/>
  <c r="G12" i="1"/>
  <c r="H12" i="1" l="1"/>
  <c r="B24" i="1" s="1"/>
  <c r="B27" i="1" s="1"/>
  <c r="C5" i="16" s="1"/>
  <c r="E5" i="16" l="1"/>
  <c r="E8" i="16" s="1"/>
  <c r="C8" i="16"/>
  <c r="C17" i="16" l="1"/>
  <c r="D22" i="16"/>
  <c r="E18" i="16"/>
  <c r="E22" i="16"/>
  <c r="C20" i="16"/>
  <c r="F17" i="16"/>
  <c r="G20" i="16"/>
  <c r="C19" i="16"/>
  <c r="C15" i="16"/>
  <c r="G16" i="16"/>
  <c r="D18" i="16"/>
  <c r="D19" i="16"/>
  <c r="G19" i="16"/>
  <c r="E23" i="16"/>
  <c r="G18" i="16"/>
  <c r="E19" i="16"/>
  <c r="C22" i="16"/>
  <c r="G22" i="16"/>
  <c r="D14" i="16"/>
  <c r="D16" i="16"/>
  <c r="D20" i="16"/>
  <c r="F15" i="16"/>
  <c r="E20" i="16"/>
  <c r="G15" i="16"/>
  <c r="C14" i="16"/>
  <c r="E14" i="16"/>
  <c r="G14" i="16"/>
  <c r="E15" i="16"/>
  <c r="C18" i="16"/>
  <c r="F16" i="16"/>
  <c r="E21" i="16"/>
  <c r="D23" i="16"/>
  <c r="G17" i="16"/>
  <c r="E16" i="16"/>
  <c r="D21" i="16"/>
  <c r="D15" i="16"/>
  <c r="C23" i="16"/>
  <c r="G23" i="16"/>
  <c r="E17" i="16"/>
  <c r="C21" i="16"/>
  <c r="G21" i="16"/>
  <c r="F14" i="16"/>
  <c r="D17" i="16"/>
  <c r="C16" i="16"/>
</calcChain>
</file>

<file path=xl/comments1.xml><?xml version="1.0" encoding="utf-8"?>
<comments xmlns="http://schemas.openxmlformats.org/spreadsheetml/2006/main">
  <authors>
    <author>SAC</author>
  </authors>
  <commentList>
    <comment ref="G7" authorId="0">
      <text>
        <r>
          <rPr>
            <b/>
            <sz val="9"/>
            <color indexed="81"/>
            <rFont val="Tahoma"/>
            <family val="2"/>
          </rPr>
          <t>The red triangle indicates a helpful comment.</t>
        </r>
      </text>
    </comment>
  </commentList>
</comments>
</file>

<file path=xl/comments2.xml><?xml version="1.0" encoding="utf-8"?>
<comments xmlns="http://schemas.openxmlformats.org/spreadsheetml/2006/main">
  <authors>
    <author>SAC</author>
  </authors>
  <commentList>
    <comment ref="B5" authorId="0">
      <text>
        <r>
          <rPr>
            <b/>
            <sz val="9"/>
            <color indexed="81"/>
            <rFont val="Tahoma"/>
            <family val="2"/>
          </rPr>
          <t>Including 364 day lets</t>
        </r>
      </text>
    </comment>
    <comment ref="N5" authorId="0">
      <text>
        <r>
          <rPr>
            <b/>
            <sz val="9"/>
            <color indexed="81"/>
            <rFont val="Tahoma"/>
            <family val="2"/>
          </rPr>
          <t>Set months based on date in G1</t>
        </r>
      </text>
    </comment>
    <comment ref="D8" authorId="0">
      <text>
        <r>
          <rPr>
            <b/>
            <sz val="9"/>
            <color indexed="81"/>
            <rFont val="Tahoma"/>
            <family val="2"/>
          </rPr>
          <t>Adjusted to equivalent of improved pasture</t>
        </r>
      </text>
    </comment>
    <comment ref="D12" authorId="0">
      <text>
        <r>
          <rPr>
            <b/>
            <sz val="9"/>
            <color indexed="81"/>
            <rFont val="Tahoma"/>
            <family val="2"/>
          </rPr>
          <t>For a typical spring to late autumn  let, normally limited adjustment required (ie, get the benefit of all the annual forage production.</t>
        </r>
      </text>
    </comment>
    <comment ref="D13" authorId="0">
      <text>
        <r>
          <rPr>
            <b/>
            <sz val="9"/>
            <color indexed="81"/>
            <rFont val="Tahoma"/>
            <family val="2"/>
          </rPr>
          <t>Where, for instance, away wintering ewe hoggs, adjust to equivalent annual area of "improved pasture".</t>
        </r>
      </text>
    </comment>
    <comment ref="H20" authorId="0">
      <text>
        <r>
          <rPr>
            <b/>
            <sz val="9"/>
            <color indexed="81"/>
            <rFont val="Tahoma"/>
            <family val="2"/>
          </rPr>
          <t>Where breeding numbers stable, calculate ALN by simply averaging the opening and closing numbers.</t>
        </r>
      </text>
    </comment>
    <comment ref="H22" authorId="0">
      <text>
        <r>
          <rPr>
            <b/>
            <sz val="9"/>
            <color indexed="81"/>
            <rFont val="Tahoma"/>
            <family val="2"/>
          </rPr>
          <t>Calculated using ALN table opposite</t>
        </r>
      </text>
    </comment>
    <comment ref="B48" authorId="0">
      <text>
        <r>
          <rPr>
            <b/>
            <sz val="9"/>
            <color indexed="81"/>
            <rFont val="Tahoma"/>
            <family val="2"/>
          </rPr>
          <t>Including 364 day lets</t>
        </r>
      </text>
    </comment>
    <comment ref="N48" authorId="0">
      <text>
        <r>
          <rPr>
            <b/>
            <sz val="9"/>
            <color indexed="81"/>
            <rFont val="Tahoma"/>
            <family val="2"/>
          </rPr>
          <t>Set months based on date in G1</t>
        </r>
      </text>
    </comment>
    <comment ref="D51" authorId="0">
      <text>
        <r>
          <rPr>
            <b/>
            <sz val="9"/>
            <color indexed="81"/>
            <rFont val="Tahoma"/>
            <family val="2"/>
          </rPr>
          <t>Adjusted to equivalent of improved pasture</t>
        </r>
      </text>
    </comment>
    <comment ref="I51" authorId="0">
      <text>
        <r>
          <rPr>
            <b/>
            <sz val="9"/>
            <color theme="1"/>
            <rFont val="Tahoma"/>
            <family val="2"/>
          </rPr>
          <t>Change coefficient for cow size  
550kg (small) = 0.75
650kg (medium) = 0.81
750kg (large) = 0.87</t>
        </r>
        <r>
          <rPr>
            <b/>
            <sz val="11"/>
            <color theme="1"/>
            <rFont val="Calibri"/>
            <family val="2"/>
            <scheme val="minor"/>
          </rPr>
          <t xml:space="preserve">
</t>
        </r>
      </text>
    </comment>
    <comment ref="D55" authorId="0">
      <text>
        <r>
          <rPr>
            <b/>
            <sz val="9"/>
            <color indexed="81"/>
            <rFont val="Tahoma"/>
            <family val="2"/>
          </rPr>
          <t>For a typical spring to late autumn  let, normally no adjustment required (ie, get the benefit of all the annual forage production.</t>
        </r>
      </text>
    </comment>
    <comment ref="H55" authorId="0">
      <text>
        <r>
          <rPr>
            <b/>
            <sz val="9"/>
            <color indexed="81"/>
            <rFont val="Tahoma"/>
            <family val="2"/>
          </rPr>
          <t>If using calculator table, you must type figure into this column.</t>
        </r>
      </text>
    </comment>
    <comment ref="D56" authorId="0">
      <text>
        <r>
          <rPr>
            <b/>
            <sz val="9"/>
            <color indexed="81"/>
            <rFont val="Tahoma"/>
            <family val="2"/>
          </rPr>
          <t>Where, for instance, away wintering ewe hoggs, adjust to equivalent annual area of "improved pasture".</t>
        </r>
      </text>
    </comment>
    <comment ref="H63" authorId="0">
      <text>
        <r>
          <rPr>
            <b/>
            <sz val="9"/>
            <color indexed="81"/>
            <rFont val="Tahoma"/>
            <family val="2"/>
          </rPr>
          <t>Where breeding numbers stable, calculate ALN by simply averaging the opening and closing numbers.</t>
        </r>
      </text>
    </comment>
    <comment ref="I63" authorId="0">
      <text>
        <r>
          <rPr>
            <b/>
            <sz val="9"/>
            <color indexed="81"/>
            <rFont val="Tahoma"/>
            <family val="2"/>
          </rPr>
          <t>Change coefficient for ewe size Hill = 0.08
Other = 0.11</t>
        </r>
      </text>
    </comment>
    <comment ref="U64" authorId="0">
      <text>
        <r>
          <rPr>
            <b/>
            <sz val="9"/>
            <color indexed="81"/>
            <rFont val="Tahoma"/>
            <family val="2"/>
          </rPr>
          <t>Breeding lambs transferred from lamb crop at same time hoggs transferred into breeding flock.</t>
        </r>
      </text>
    </comment>
  </commentList>
</comments>
</file>

<file path=xl/sharedStrings.xml><?xml version="1.0" encoding="utf-8"?>
<sst xmlns="http://schemas.openxmlformats.org/spreadsheetml/2006/main" count="518" uniqueCount="282">
  <si>
    <t>Year</t>
  </si>
  <si>
    <t xml:space="preserve">Start date </t>
  </si>
  <si>
    <t>Sheep</t>
  </si>
  <si>
    <t>Ewes &amp; gimmers</t>
  </si>
  <si>
    <t>Ewe Hoggs</t>
  </si>
  <si>
    <t>Lambs</t>
  </si>
  <si>
    <t>All Sheep</t>
  </si>
  <si>
    <t>Opening Stock</t>
  </si>
  <si>
    <t>End date</t>
  </si>
  <si>
    <t>Average LWT at sale</t>
  </si>
  <si>
    <t>Total  LWT sold</t>
  </si>
  <si>
    <t>Stock Sold</t>
  </si>
  <si>
    <t>Closing Stock</t>
  </si>
  <si>
    <t>Stock Purchased</t>
  </si>
  <si>
    <t>Total LWT purchased</t>
  </si>
  <si>
    <t>Kgs</t>
  </si>
  <si>
    <t>Sheep Kgs produced</t>
  </si>
  <si>
    <t>Cattle</t>
  </si>
  <si>
    <t>Bulling heifers</t>
  </si>
  <si>
    <t>All Cattle</t>
  </si>
  <si>
    <t>Cows &amp; calved heifers</t>
  </si>
  <si>
    <t>Stock &gt; 1 year</t>
  </si>
  <si>
    <t>Stock &lt; 1 year</t>
  </si>
  <si>
    <t>Total  LWT purchased</t>
  </si>
  <si>
    <t>Cattle Kgs produced</t>
  </si>
  <si>
    <t>Total Kg LWT/ha</t>
  </si>
  <si>
    <t>Total</t>
  </si>
  <si>
    <t>Sale Date</t>
  </si>
  <si>
    <t>Summary of all cattle sales (prime, store, breeding or cull stock)</t>
  </si>
  <si>
    <t>Number of stock sold</t>
  </si>
  <si>
    <t>DWT adjustment</t>
  </si>
  <si>
    <t>LWT</t>
  </si>
  <si>
    <t>DWT</t>
  </si>
  <si>
    <t>Sale Weight (kgs)</t>
  </si>
  <si>
    <t>15.11.2013</t>
  </si>
  <si>
    <t>30.09.2013</t>
  </si>
  <si>
    <t>Total Liveweight Kgs)</t>
  </si>
  <si>
    <t>Summary of all sheep sales (prime, store, breeding or cull stock)</t>
  </si>
  <si>
    <t>Tups</t>
  </si>
  <si>
    <t>Summary of all cattle purchases (store or  breeding stock)</t>
  </si>
  <si>
    <t>Purchase Date</t>
  </si>
  <si>
    <t>Number purchased</t>
  </si>
  <si>
    <t>Purchase weight</t>
  </si>
  <si>
    <t>Total Liveweight (Kgs)</t>
  </si>
  <si>
    <t>(average per head)</t>
  </si>
  <si>
    <t>Average weight</t>
  </si>
  <si>
    <t>Summary of all sheep purchases (store or breeding stock)</t>
  </si>
  <si>
    <t>Purchase Weight</t>
  </si>
  <si>
    <t>Ewes &amp; Gimmers</t>
  </si>
  <si>
    <t>&lt; 1year old</t>
  </si>
  <si>
    <t>&gt; 1 year old</t>
  </si>
  <si>
    <t>Bulls</t>
  </si>
  <si>
    <t>Liveweight Purchased by category</t>
  </si>
  <si>
    <t>Liveweight Sold by Category</t>
  </si>
  <si>
    <t>Number of Stock Sold by Category</t>
  </si>
  <si>
    <t>Average Weight</t>
  </si>
  <si>
    <t>Number Sold</t>
  </si>
  <si>
    <t>Stock Sold (Sheep)</t>
  </si>
  <si>
    <t>Numbers sold</t>
  </si>
  <si>
    <t>Bulling Heifers</t>
  </si>
  <si>
    <t>Totals</t>
  </si>
  <si>
    <t xml:space="preserve">Stock Sold (Cattle) </t>
  </si>
  <si>
    <t>LAND USE</t>
  </si>
  <si>
    <t>STOCKING (using Average Livestock Number)</t>
  </si>
  <si>
    <t>Actual</t>
  </si>
  <si>
    <t>Adjusted</t>
  </si>
  <si>
    <t>Stock class</t>
  </si>
  <si>
    <t>ALN</t>
  </si>
  <si>
    <t>GLU coeff.</t>
  </si>
  <si>
    <t>GLU's</t>
  </si>
  <si>
    <t>ha</t>
  </si>
  <si>
    <t>Stock bulls</t>
  </si>
  <si>
    <t>Dairy cows</t>
  </si>
  <si>
    <t>Rough grazing</t>
  </si>
  <si>
    <t>Beef cows</t>
  </si>
  <si>
    <t>Unusable (eg, buildings, woods)</t>
  </si>
  <si>
    <t>Total farm area</t>
  </si>
  <si>
    <t>Total adjusted forage area</t>
  </si>
  <si>
    <t>Of which:</t>
  </si>
  <si>
    <t>- allocated to beef</t>
  </si>
  <si>
    <t>- allocated to sheep</t>
  </si>
  <si>
    <t>Total Cattle</t>
  </si>
  <si>
    <t>STOCKING RATE</t>
  </si>
  <si>
    <t>Breeding ewe hoggs</t>
  </si>
  <si>
    <t>Total ALNs</t>
  </si>
  <si>
    <t>Trading lambs</t>
  </si>
  <si>
    <t>Total adjusted forage area (ha)</t>
  </si>
  <si>
    <t>Total Sheep</t>
  </si>
  <si>
    <t xml:space="preserve">Stocking rate </t>
  </si>
  <si>
    <t>GLU/ha</t>
  </si>
  <si>
    <t xml:space="preserve">                                   of which;</t>
  </si>
  <si>
    <t xml:space="preserve">Owned &amp; rented annually </t>
  </si>
  <si>
    <t>Plus,</t>
  </si>
  <si>
    <t xml:space="preserve">Rented spring-autumn </t>
  </si>
  <si>
    <t>Rented winter</t>
  </si>
  <si>
    <t>Cash crops (excl. forage)</t>
  </si>
  <si>
    <t>Improved pasture (incl. forage crops)</t>
  </si>
  <si>
    <t>kg</t>
  </si>
  <si>
    <t>kg/adj. forage ha</t>
  </si>
  <si>
    <t>Store</t>
  </si>
  <si>
    <t>Breeding</t>
  </si>
  <si>
    <t>Finished</t>
  </si>
  <si>
    <t>Cattle sold</t>
  </si>
  <si>
    <t>Cattle bought</t>
  </si>
  <si>
    <t>Closing cattle</t>
  </si>
  <si>
    <t>Opening cattle</t>
  </si>
  <si>
    <t>Number</t>
  </si>
  <si>
    <t>Number sold</t>
  </si>
  <si>
    <t>Average LWT</t>
  </si>
  <si>
    <t>Total  LWT</t>
  </si>
  <si>
    <t>Total LWT produced</t>
  </si>
  <si>
    <t>Numbers</t>
  </si>
  <si>
    <t>Total Sheep sold</t>
  </si>
  <si>
    <t>Total Sheep purchased</t>
  </si>
  <si>
    <t>Total sheep</t>
  </si>
  <si>
    <t>Ewes</t>
  </si>
  <si>
    <t>Ewe</t>
  </si>
  <si>
    <t>Hoggs</t>
  </si>
  <si>
    <t>&amp; Gimmers</t>
  </si>
  <si>
    <t>Cows &amp;</t>
  </si>
  <si>
    <t>Calved Heifers</t>
  </si>
  <si>
    <t>&gt;2yrs</t>
  </si>
  <si>
    <t>Heifers</t>
  </si>
  <si>
    <t>1-2yr</t>
  </si>
  <si>
    <t>&lt;1yr</t>
  </si>
  <si>
    <t>Steers</t>
  </si>
  <si>
    <t>Stock</t>
  </si>
  <si>
    <t xml:space="preserve">Average LWT </t>
  </si>
  <si>
    <t>Formulas locked</t>
  </si>
  <si>
    <t>Default co-efficients.  Adjust as required.</t>
  </si>
  <si>
    <t>Data required from farmer</t>
  </si>
  <si>
    <t xml:space="preserve"> SRUC ISO 9001:2008</t>
  </si>
  <si>
    <t xml:space="preserve">1. Use this calculator to estimate key livestock production KPI's. </t>
  </si>
  <si>
    <t>Land &amp; Stocking</t>
  </si>
  <si>
    <t>Farmer / business name</t>
  </si>
  <si>
    <t>Farm:</t>
  </si>
  <si>
    <t>Village</t>
  </si>
  <si>
    <t>Town</t>
  </si>
  <si>
    <t>County</t>
  </si>
  <si>
    <t>Postcode:</t>
  </si>
  <si>
    <t>BRN</t>
  </si>
  <si>
    <t>Use format 31/3/16</t>
  </si>
  <si>
    <t>for Year Ending</t>
  </si>
  <si>
    <t>Farm type</t>
  </si>
  <si>
    <t>Key Performance Indicator dashboard for:</t>
  </si>
  <si>
    <t>adj. forage ha</t>
  </si>
  <si>
    <t>- Hard hill</t>
  </si>
  <si>
    <t>- Hill</t>
  </si>
  <si>
    <t>- Upland</t>
  </si>
  <si>
    <t>c. Calculate the area of the farm.</t>
  </si>
  <si>
    <t>d. Calculate the stocking of the farm based on Average Livestock Number on the farm for each type and age of animal.</t>
  </si>
  <si>
    <t>Sheep production</t>
  </si>
  <si>
    <t>Cattle production</t>
  </si>
  <si>
    <t>&gt;2yr breeding heifers</t>
  </si>
  <si>
    <t>1-2yr breeding heifers</t>
  </si>
  <si>
    <t>1-2yr trading heifers</t>
  </si>
  <si>
    <t>&gt;2yr trading heifers</t>
  </si>
  <si>
    <t>&lt;1yr trading heifers</t>
  </si>
  <si>
    <t>&gt;2yr steers</t>
  </si>
  <si>
    <t>1-2yr steers</t>
  </si>
  <si>
    <t>1-2yr young bulls</t>
  </si>
  <si>
    <t>&lt;1yr bulls/steers</t>
  </si>
  <si>
    <t>Apr</t>
  </si>
  <si>
    <t>May</t>
  </si>
  <si>
    <t>Jun</t>
  </si>
  <si>
    <t>Jul</t>
  </si>
  <si>
    <t>Aug</t>
  </si>
  <si>
    <t>Sep</t>
  </si>
  <si>
    <t>Oct</t>
  </si>
  <si>
    <t>Nov</t>
  </si>
  <si>
    <t>Dec</t>
  </si>
  <si>
    <t>Jan</t>
  </si>
  <si>
    <t>Feb</t>
  </si>
  <si>
    <t>Mar</t>
  </si>
  <si>
    <t>ALN (as calculated below)</t>
  </si>
  <si>
    <t>Average Livestock Number (ALN) calculator (! Cells must include "0" where no animals, not a blank!)</t>
  </si>
  <si>
    <t>&lt; 99</t>
  </si>
  <si>
    <t>800 - 999</t>
  </si>
  <si>
    <t>&gt; 1,000</t>
  </si>
  <si>
    <t>Hill</t>
  </si>
  <si>
    <t>Upland</t>
  </si>
  <si>
    <t>Lowland</t>
  </si>
  <si>
    <t>(finishing only)</t>
  </si>
  <si>
    <t>per ha</t>
  </si>
  <si>
    <t>kg LWT</t>
  </si>
  <si>
    <t>400 - 499</t>
  </si>
  <si>
    <t>200 - 299</t>
  </si>
  <si>
    <t>300 - 399</t>
  </si>
  <si>
    <t>500 - 599</t>
  </si>
  <si>
    <t>600 - 699</t>
  </si>
  <si>
    <t>700 - 799</t>
  </si>
  <si>
    <t>Adj. forage area</t>
  </si>
  <si>
    <t>LWT produced</t>
  </si>
  <si>
    <t>Hard</t>
  </si>
  <si>
    <t>hill</t>
  </si>
  <si>
    <t>100 - 199</t>
  </si>
  <si>
    <t>- Lowland</t>
  </si>
  <si>
    <t>- Lowland (finishing only)</t>
  </si>
  <si>
    <t>GLU per</t>
  </si>
  <si>
    <t>&lt; 0.24</t>
  </si>
  <si>
    <t>0.25 - 0.49</t>
  </si>
  <si>
    <t>0.50 - 0.74</t>
  </si>
  <si>
    <t>0.75 - 0.99</t>
  </si>
  <si>
    <t>1.00 - 1.24</t>
  </si>
  <si>
    <t>1.25 - 1.49</t>
  </si>
  <si>
    <t>1.50 - 1.74</t>
  </si>
  <si>
    <t>1.75 - 1.99</t>
  </si>
  <si>
    <t>2.00 - 2.24</t>
  </si>
  <si>
    <t>&gt; 2.25</t>
  </si>
  <si>
    <t>Increase per head performance</t>
  </si>
  <si>
    <t>Raise stocking rate</t>
  </si>
  <si>
    <t>Change enterprise balance</t>
  </si>
  <si>
    <t>Change balance of breeding to finishing stock</t>
  </si>
  <si>
    <t>of lifting productivity.</t>
  </si>
  <si>
    <t>Optimise pH, P and K indices</t>
  </si>
  <si>
    <t>Reseed pastures</t>
  </si>
  <si>
    <t>Optimise N fertiliser</t>
  </si>
  <si>
    <t>Grow forage crops</t>
  </si>
  <si>
    <t>Options for raising productivity</t>
  </si>
  <si>
    <t>Lift calving %</t>
  </si>
  <si>
    <t>Lift lambing %</t>
  </si>
  <si>
    <t>Lift livestock growth rates</t>
  </si>
  <si>
    <t>Condense calving pattern</t>
  </si>
  <si>
    <t>Reduce mortality rates</t>
  </si>
  <si>
    <t>Use genetically better bulls and tups</t>
  </si>
  <si>
    <t>Switch to rotational grazing</t>
  </si>
  <si>
    <t>Monitor animal growth rates</t>
  </si>
  <si>
    <t>Review animal health plan especially worming strategies</t>
  </si>
  <si>
    <t>Increase scale of operation</t>
  </si>
  <si>
    <t>Better handling yards</t>
  </si>
  <si>
    <t>Contracting out non-core operations</t>
  </si>
  <si>
    <t>Substitute more cows for ewes (or vice versa)</t>
  </si>
  <si>
    <t>Sell some/all calves store rather than finish</t>
  </si>
  <si>
    <t>Simpler breeding systems</t>
  </si>
  <si>
    <t>Substitute livestock for cereals (or vice versa)</t>
  </si>
  <si>
    <t>Below list not exhaustive</t>
  </si>
  <si>
    <t>Switch to beef systems based on dairy crossbreds</t>
  </si>
  <si>
    <t>Grow more crops to finish purchased store lambs</t>
  </si>
  <si>
    <t>Less but bigger enterprises</t>
  </si>
  <si>
    <t>Click cell to insert "1" opposite if farm &gt; 80% rough grazing</t>
  </si>
  <si>
    <t>Click cell to insert "2" opposite if farm 25 - 80% rough grazing</t>
  </si>
  <si>
    <t>Click cell to insert "3" opposite if farm (&lt; 25% rough grazing)</t>
  </si>
  <si>
    <t>Click cell to insert "4" opposite if a mixed non-LFA farm mainly breeding flock</t>
  </si>
  <si>
    <t>Click cell to insert "5" opposite if a non-LFA farm finishing only</t>
  </si>
  <si>
    <t xml:space="preserve">Dashboard </t>
  </si>
  <si>
    <t>Options for improvement</t>
  </si>
  <si>
    <t>Liveweight production depends largely on grassland production so will vary with where you farm.  The above table therefore indicates</t>
  </si>
  <si>
    <t>how your production compares with similar farms, with darker shading reflecting higher levels of production.</t>
  </si>
  <si>
    <t>and returns) into account when considering options for improvement.  See tab "How to lift productivity".</t>
  </si>
  <si>
    <t>2. The cells in the sheets are colour coded as follows;</t>
  </si>
  <si>
    <t>3. How to use;</t>
  </si>
  <si>
    <t xml:space="preserve">b. Save file to your computer and backup regularly.  </t>
  </si>
  <si>
    <t>e. Estimate annual sheep production based on stock numbers at the start and end of the year, sales and purchases.</t>
  </si>
  <si>
    <t>f. Estimate annual cattle production based on stock numbers at the start and end of the year, sales and purchases.</t>
  </si>
  <si>
    <t>g. The key production KPIs for your farm are benchmarked alongside industry standards.</t>
  </si>
  <si>
    <t>h. Options for improving performance are outlined in "how to lift productivity".</t>
  </si>
  <si>
    <t>Year End (eg, most recent accounts):</t>
  </si>
  <si>
    <t xml:space="preserve">But remember!   Always include costs (including environmental) and the returns when budgeting the impact </t>
  </si>
  <si>
    <t>Farm Details</t>
  </si>
  <si>
    <t>a. Complete "Farm Details".</t>
  </si>
  <si>
    <t>Total Average Livestock Numbers</t>
  </si>
  <si>
    <t>GLU</t>
  </si>
  <si>
    <t xml:space="preserve">Total adjusted forage area </t>
  </si>
  <si>
    <t>However, using more inputs (eg, concentrates, fertiliser) can lift physical production but may not lift profitability.  So always take costs (and</t>
  </si>
  <si>
    <t>For further advice on how to lift productivity contact 0300 323 016.</t>
  </si>
  <si>
    <r>
      <rPr>
        <b/>
        <u/>
        <sz val="18"/>
        <rFont val="Arial"/>
        <family val="2"/>
      </rPr>
      <t>L</t>
    </r>
    <r>
      <rPr>
        <b/>
        <sz val="18"/>
        <rFont val="Arial"/>
        <family val="2"/>
      </rPr>
      <t xml:space="preserve">ivestock </t>
    </r>
    <r>
      <rPr>
        <b/>
        <u/>
        <sz val="18"/>
        <rFont val="Arial"/>
        <family val="2"/>
      </rPr>
      <t>P</t>
    </r>
    <r>
      <rPr>
        <b/>
        <sz val="18"/>
        <rFont val="Arial"/>
        <family val="2"/>
      </rPr>
      <t>roduction Calculator - Version 6</t>
    </r>
  </si>
  <si>
    <t>EXAMPLE BELOW</t>
  </si>
  <si>
    <t xml:space="preserve">100 cow spring calving herd.  ALN simply the average of the opening and closing number.  But if significant change in cow numbers during year, use table to calculate average.  </t>
  </si>
  <si>
    <t>Bull ALN calculated as per cows.</t>
  </si>
  <si>
    <t>EXAMPLE BELOW - LFA mixed cattle and sheep farm</t>
  </si>
  <si>
    <t>For breeding ewes and tups use same rules as for cows and bulls.</t>
  </si>
  <si>
    <t xml:space="preserve">If replacements home bred (and lambing at 2 years old), ewe hoggs equals number of gimmers entering flock.  Example shows why. </t>
  </si>
  <si>
    <t>Important to use table to calculate ALN for trading lambs.  But don't too precious: broadly right is the aim.</t>
  </si>
  <si>
    <t>Land is adjusted as follows;</t>
  </si>
  <si>
    <t>- cash crops (eg, barley) are excluded even if straw and grain all used on farm.</t>
  </si>
  <si>
    <t>- rough grazing is adjusted to equivalent area of improved pasture.</t>
  </si>
  <si>
    <t>- land under buildings and trees (where stock fenced out) is excluded.</t>
  </si>
  <si>
    <t>- grazing rented from spring to autumn adjusted to reflect % of annual production used (90% in below example).</t>
  </si>
  <si>
    <t>- by comparison, the area of winter grazing is significantly reduced to arrive at an annualised area.</t>
  </si>
  <si>
    <t xml:space="preserve">Breeding heifers simple if home bred and calve at 24 months old.  However, below shows bulling heifers bought at 18 months old for calving at 28 months.  </t>
  </si>
  <si>
    <t>Where selling trading cattle as yearlings, simply use number sold.  Below, farmer is finishing steers at 20 months and heifers at 18 months so use the table (though can average the under 1yr mobs).</t>
  </si>
  <si>
    <t>ALN (as calculated in 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</si>
</sst>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64" formatCode="#,##0.0"/>
    <numFmt numFmtId="165" formatCode="&quot;£&quot;0&quot;/ha&quot;"/>
    <numFmt numFmtId="166" formatCode="&quot;£&quot;0&quot;/tonne&quot;"/>
    <numFmt numFmtId="167" formatCode="0.00&quot;Conf&quot;"/>
    <numFmt numFmtId="168" formatCode="dd/mm/yy"/>
    <numFmt numFmtId="169" formatCode="0&quot;days&quot;"/>
    <numFmt numFmtId="170" formatCode="0.00&quot;fat&quot;"/>
    <numFmt numFmtId="171" formatCode="0.0&quot;ha&quot;"/>
    <numFmt numFmtId="172" formatCode="0&quot;head&quot;"/>
    <numFmt numFmtId="173" formatCode="0.0&quot;head/ha&quot;"/>
    <numFmt numFmtId="174" formatCode="0&quot;kg&quot;"/>
    <numFmt numFmtId="175" formatCode="0&quot;kg/ha&quot;"/>
    <numFmt numFmtId="176" formatCode="0&quot;kg/head&quot;"/>
    <numFmt numFmtId="177" formatCode="0&quot;p/kg&quot;"/>
    <numFmt numFmtId="178" formatCode="0&quot;tonnes&quot;"/>
    <numFmt numFmtId="179" formatCode="0.0&quot;tonnes&quot;"/>
    <numFmt numFmtId="180" formatCode="0.0%"/>
    <numFmt numFmtId="181" formatCode="_(* #,##0.00_);_(* \(#,##0.00\);_(* &quot;-&quot;??_);_(@_)"/>
    <numFmt numFmtId="182" formatCode="_(&quot;$&quot;* #,##0.00_);_(&quot;$&quot;* \(#,##0.00\);_(&quot;$&quot;* &quot;-&quot;??_);_(@_)"/>
    <numFmt numFmtId="183" formatCode="d/m/yy;@"/>
    <numFmt numFmtId="184" formatCode="0.0"/>
    <numFmt numFmtId="185" formatCode=";;;"/>
    <numFmt numFmtId="186" formatCode="#"/>
  </numFmts>
  <fonts count="54"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i/>
      <sz val="11"/>
      <color theme="4" tint="-0.249977111117893"/>
      <name val="Calibri"/>
      <family val="2"/>
      <scheme val="minor"/>
    </font>
    <font>
      <i/>
      <sz val="11"/>
      <name val="Calibri"/>
      <family val="2"/>
      <scheme val="minor"/>
    </font>
    <font>
      <sz val="11"/>
      <name val="Calibri"/>
      <family val="2"/>
      <scheme val="minor"/>
    </font>
    <font>
      <b/>
      <sz val="11"/>
      <name val="Calibri"/>
      <family val="2"/>
      <scheme val="minor"/>
    </font>
    <font>
      <i/>
      <sz val="11"/>
      <color theme="3" tint="0.39997558519241921"/>
      <name val="Calibri"/>
      <family val="2"/>
      <scheme val="minor"/>
    </font>
    <font>
      <sz val="11"/>
      <color rgb="FF0070C0"/>
      <name val="Calibri"/>
      <family val="2"/>
      <scheme val="minor"/>
    </font>
    <font>
      <b/>
      <i/>
      <sz val="11"/>
      <color theme="4" tint="-0.249977111117893"/>
      <name val="Calibri"/>
      <family val="2"/>
      <scheme val="minor"/>
    </font>
    <font>
      <sz val="11"/>
      <color rgb="FFFF0000"/>
      <name val="Arial"/>
      <family val="2"/>
    </font>
    <font>
      <b/>
      <sz val="11"/>
      <color theme="1"/>
      <name val="Arial"/>
      <family val="2"/>
    </font>
    <font>
      <sz val="11"/>
      <name val="Arial"/>
      <family val="2"/>
    </font>
    <font>
      <b/>
      <sz val="9"/>
      <color indexed="81"/>
      <name val="Tahoma"/>
      <family val="2"/>
    </font>
    <font>
      <sz val="10"/>
      <color theme="3"/>
      <name val="Arial"/>
      <family val="2"/>
    </font>
    <font>
      <sz val="10"/>
      <name val="Arial"/>
      <family val="2"/>
    </font>
    <font>
      <sz val="10"/>
      <color rgb="FFFF0000"/>
      <name val="Arial"/>
      <family val="2"/>
    </font>
    <font>
      <sz val="10"/>
      <color rgb="FFFF0000"/>
      <name val="Century Gothic"/>
      <family val="2"/>
    </font>
    <font>
      <sz val="10"/>
      <color theme="5"/>
      <name val="Arial"/>
      <family val="2"/>
    </font>
    <font>
      <b/>
      <sz val="14"/>
      <color rgb="FF6FB440"/>
      <name val="Arial"/>
      <family val="2"/>
    </font>
    <font>
      <b/>
      <sz val="12"/>
      <color rgb="FF6FB440"/>
      <name val="Arial"/>
      <family val="2"/>
    </font>
    <font>
      <b/>
      <sz val="10"/>
      <name val="Arial"/>
      <family val="2"/>
    </font>
    <font>
      <b/>
      <sz val="10"/>
      <color rgb="FF0000FF"/>
      <name val="Arial"/>
      <family val="2"/>
    </font>
    <font>
      <sz val="10"/>
      <color indexed="11"/>
      <name val="Arial"/>
      <family val="2"/>
    </font>
    <font>
      <sz val="10"/>
      <color indexed="10"/>
      <name val="Arial"/>
      <family val="2"/>
    </font>
    <font>
      <sz val="8"/>
      <name val="Arial"/>
      <family val="2"/>
    </font>
    <font>
      <sz val="10"/>
      <color theme="9"/>
      <name val="Arial"/>
      <family val="2"/>
    </font>
    <font>
      <sz val="10"/>
      <color theme="1"/>
      <name val="Arial"/>
      <family val="2"/>
    </font>
    <font>
      <sz val="10"/>
      <color rgb="FF00B050"/>
      <name val="Arial"/>
      <family val="2"/>
    </font>
    <font>
      <b/>
      <sz val="14"/>
      <color theme="1"/>
      <name val="Arial"/>
      <family val="2"/>
    </font>
    <font>
      <i/>
      <sz val="11"/>
      <color theme="1"/>
      <name val="Arial"/>
      <family val="2"/>
    </font>
    <font>
      <b/>
      <sz val="11"/>
      <name val="Arial"/>
      <family val="2"/>
    </font>
    <font>
      <b/>
      <sz val="16"/>
      <color theme="1"/>
      <name val="Arial"/>
      <family val="2"/>
    </font>
    <font>
      <sz val="16"/>
      <color theme="1"/>
      <name val="Arial"/>
      <family val="2"/>
    </font>
    <font>
      <sz val="11"/>
      <color theme="1"/>
      <name val="Calibri"/>
      <family val="2"/>
      <scheme val="minor"/>
    </font>
    <font>
      <sz val="10"/>
      <name val="MS Sans Serif"/>
      <family val="2"/>
    </font>
    <font>
      <b/>
      <sz val="18"/>
      <name val="Arial"/>
      <family val="2"/>
    </font>
    <font>
      <sz val="12"/>
      <name val="MS Sans Serif"/>
      <family val="2"/>
    </font>
    <font>
      <b/>
      <u/>
      <sz val="12"/>
      <name val="MS Sans Serif"/>
      <family val="2"/>
    </font>
    <font>
      <sz val="10"/>
      <name val="MS Sans Serif"/>
      <family val="2"/>
    </font>
    <font>
      <sz val="9"/>
      <name val="Calibri"/>
      <family val="2"/>
    </font>
    <font>
      <b/>
      <u/>
      <sz val="18"/>
      <name val="Arial"/>
      <family val="2"/>
    </font>
    <font>
      <b/>
      <sz val="20"/>
      <name val="Arial"/>
      <family val="2"/>
    </font>
    <font>
      <b/>
      <sz val="18"/>
      <name val="MS Sans Serif"/>
      <family val="2"/>
    </font>
    <font>
      <b/>
      <sz val="20"/>
      <color theme="1"/>
      <name val="Arial"/>
      <family val="2"/>
    </font>
    <font>
      <sz val="14"/>
      <color theme="1"/>
      <name val="Arial"/>
      <family val="2"/>
    </font>
    <font>
      <i/>
      <sz val="11"/>
      <color indexed="8"/>
      <name val="Arial"/>
      <family val="2"/>
    </font>
    <font>
      <b/>
      <sz val="22"/>
      <color theme="1"/>
      <name val="Arial"/>
      <family val="2"/>
    </font>
    <font>
      <sz val="12"/>
      <color theme="1"/>
      <name val="Arial"/>
      <family val="2"/>
    </font>
    <font>
      <b/>
      <sz val="9"/>
      <color theme="1"/>
      <name val="Tahoma"/>
      <family val="2"/>
    </font>
  </fonts>
  <fills count="19">
    <fill>
      <patternFill patternType="none"/>
    </fill>
    <fill>
      <patternFill patternType="gray125"/>
    </fill>
    <fill>
      <patternFill patternType="solid">
        <fgColor rgb="FFFFFF66"/>
        <bgColor indexed="64"/>
      </patternFill>
    </fill>
    <fill>
      <patternFill patternType="solid">
        <fgColor rgb="FFFFCC66"/>
        <bgColor indexed="64"/>
      </patternFill>
    </fill>
    <fill>
      <patternFill patternType="darkUp"/>
    </fill>
    <fill>
      <patternFill patternType="solid">
        <fgColor theme="6" tint="0.79998168889431442"/>
        <bgColor indexed="64"/>
      </patternFill>
    </fill>
    <fill>
      <patternFill patternType="solid">
        <fgColor indexed="45"/>
        <bgColor indexed="64"/>
      </patternFill>
    </fill>
    <fill>
      <patternFill patternType="solid">
        <fgColor indexed="27"/>
        <bgColor indexed="64"/>
      </patternFill>
    </fill>
    <fill>
      <patternFill patternType="solid">
        <fgColor indexed="41"/>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FF0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dashed">
        <color indexed="64"/>
      </left>
      <right style="dashed">
        <color indexed="64"/>
      </right>
      <top style="dashed">
        <color indexed="64"/>
      </top>
      <bottom style="dashed">
        <color indexed="64"/>
      </bottom>
      <diagonal/>
    </border>
    <border>
      <left style="mediumDashed">
        <color indexed="35"/>
      </left>
      <right style="mediumDashed">
        <color indexed="35"/>
      </right>
      <top style="mediumDashed">
        <color indexed="35"/>
      </top>
      <bottom style="mediumDashed">
        <color indexed="3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5">
    <xf numFmtId="0" fontId="0" fillId="0" borderId="0"/>
    <xf numFmtId="0" fontId="5" fillId="0" borderId="0"/>
    <xf numFmtId="3" fontId="18" fillId="0" borderId="0">
      <protection locked="0"/>
    </xf>
    <xf numFmtId="164" fontId="18" fillId="0" borderId="0">
      <protection locked="0"/>
    </xf>
    <xf numFmtId="0" fontId="19" fillId="0" borderId="0" applyFill="0" applyBorder="0"/>
    <xf numFmtId="3" fontId="20" fillId="0" borderId="0">
      <protection locked="0"/>
    </xf>
    <xf numFmtId="4" fontId="21" fillId="0" borderId="0">
      <protection locked="0"/>
    </xf>
    <xf numFmtId="3" fontId="22" fillId="5" borderId="0"/>
    <xf numFmtId="0" fontId="19" fillId="6" borderId="0"/>
    <xf numFmtId="3" fontId="23" fillId="0" borderId="0"/>
    <xf numFmtId="3" fontId="24" fillId="0" borderId="0"/>
    <xf numFmtId="3" fontId="25" fillId="0" borderId="0"/>
    <xf numFmtId="3" fontId="26" fillId="0" borderId="0"/>
    <xf numFmtId="14" fontId="19" fillId="7" borderId="13">
      <protection locked="0"/>
    </xf>
    <xf numFmtId="9" fontId="19" fillId="8" borderId="0">
      <protection locked="0"/>
    </xf>
    <xf numFmtId="2" fontId="27" fillId="0" borderId="0">
      <protection locked="0"/>
    </xf>
    <xf numFmtId="0" fontId="27" fillId="0" borderId="0">
      <protection locked="0"/>
    </xf>
    <xf numFmtId="165" fontId="27" fillId="0" borderId="0"/>
    <xf numFmtId="166" fontId="27" fillId="0" borderId="0"/>
    <xf numFmtId="0" fontId="28" fillId="9" borderId="14">
      <protection locked="0"/>
    </xf>
    <xf numFmtId="0" fontId="19" fillId="7" borderId="13">
      <protection locked="0"/>
    </xf>
    <xf numFmtId="167" fontId="29" fillId="8" borderId="0">
      <protection locked="0"/>
    </xf>
    <xf numFmtId="0" fontId="19" fillId="8" borderId="0">
      <protection locked="0"/>
    </xf>
    <xf numFmtId="168" fontId="29" fillId="8" borderId="0">
      <protection locked="0"/>
    </xf>
    <xf numFmtId="169" fontId="27" fillId="0" borderId="0"/>
    <xf numFmtId="170" fontId="19" fillId="8" borderId="0">
      <protection locked="0"/>
    </xf>
    <xf numFmtId="0" fontId="29" fillId="0" borderId="15">
      <protection locked="0"/>
    </xf>
    <xf numFmtId="0" fontId="19" fillId="7" borderId="0">
      <protection locked="0"/>
    </xf>
    <xf numFmtId="171" fontId="19" fillId="7" borderId="13">
      <protection locked="0"/>
    </xf>
    <xf numFmtId="172" fontId="27" fillId="0" borderId="0"/>
    <xf numFmtId="173" fontId="27" fillId="0" borderId="0"/>
    <xf numFmtId="1" fontId="19" fillId="8" borderId="0">
      <protection locked="0"/>
    </xf>
    <xf numFmtId="174" fontId="19" fillId="7" borderId="0">
      <protection locked="0"/>
    </xf>
    <xf numFmtId="175" fontId="27" fillId="0" borderId="0"/>
    <xf numFmtId="176" fontId="27" fillId="0" borderId="0">
      <protection locked="0"/>
    </xf>
    <xf numFmtId="1" fontId="19" fillId="7" borderId="13">
      <protection locked="0"/>
    </xf>
    <xf numFmtId="0" fontId="19" fillId="7" borderId="13">
      <protection locked="0"/>
    </xf>
    <xf numFmtId="177" fontId="27" fillId="0" borderId="0">
      <protection locked="0"/>
    </xf>
    <xf numFmtId="178" fontId="29" fillId="8" borderId="0">
      <protection locked="0"/>
    </xf>
    <xf numFmtId="179" fontId="19" fillId="0" borderId="0">
      <protection locked="0"/>
    </xf>
    <xf numFmtId="3" fontId="30" fillId="0" borderId="0">
      <protection locked="0"/>
    </xf>
    <xf numFmtId="164" fontId="30" fillId="0" borderId="0">
      <protection locked="0"/>
    </xf>
    <xf numFmtId="180" fontId="30" fillId="0" borderId="0">
      <protection locked="0"/>
    </xf>
    <xf numFmtId="3" fontId="31" fillId="0" borderId="0"/>
    <xf numFmtId="3" fontId="32" fillId="0" borderId="0">
      <protection locked="0"/>
    </xf>
    <xf numFmtId="164" fontId="32" fillId="0" borderId="0">
      <protection locked="0"/>
    </xf>
    <xf numFmtId="180" fontId="32" fillId="0" borderId="0">
      <protection locked="0"/>
    </xf>
    <xf numFmtId="9" fontId="19" fillId="0" borderId="0" applyFont="0" applyFill="0" applyBorder="0" applyAlignment="0" applyProtection="0"/>
    <xf numFmtId="0" fontId="39" fillId="0" borderId="0"/>
    <xf numFmtId="181" fontId="38" fillId="0" borderId="0" applyFont="0" applyFill="0" applyBorder="0" applyAlignment="0" applyProtection="0"/>
    <xf numFmtId="182" fontId="38" fillId="0" borderId="0" applyFont="0" applyFill="0" applyBorder="0" applyAlignment="0" applyProtection="0"/>
    <xf numFmtId="0" fontId="43" fillId="0" borderId="0"/>
    <xf numFmtId="0" fontId="4" fillId="0" borderId="0"/>
    <xf numFmtId="0" fontId="19" fillId="0" borderId="0"/>
    <xf numFmtId="0" fontId="4" fillId="0" borderId="0"/>
  </cellStyleXfs>
  <cellXfs count="277">
    <xf numFmtId="0" fontId="0" fillId="0" borderId="0" xfId="0"/>
    <xf numFmtId="0" fontId="0" fillId="0" borderId="2" xfId="0" applyBorder="1"/>
    <xf numFmtId="0" fontId="0" fillId="0" borderId="2" xfId="0" applyBorder="1" applyAlignment="1">
      <alignment horizontal="center"/>
    </xf>
    <xf numFmtId="0" fontId="6" fillId="0" borderId="0" xfId="0" applyFont="1"/>
    <xf numFmtId="0" fontId="6" fillId="0" borderId="2" xfId="0" applyFont="1" applyBorder="1"/>
    <xf numFmtId="0" fontId="0" fillId="0" borderId="0" xfId="0" applyBorder="1"/>
    <xf numFmtId="0" fontId="0" fillId="0" borderId="0" xfId="0" applyBorder="1" applyAlignment="1">
      <alignment horizontal="center"/>
    </xf>
    <xf numFmtId="0" fontId="0" fillId="0" borderId="2" xfId="0" applyFill="1" applyBorder="1" applyAlignment="1">
      <alignment horizontal="center"/>
    </xf>
    <xf numFmtId="0" fontId="6" fillId="0" borderId="2" xfId="0" applyFont="1" applyBorder="1" applyAlignment="1">
      <alignment horizontal="center"/>
    </xf>
    <xf numFmtId="0" fontId="0" fillId="0" borderId="0" xfId="0" applyAlignment="1">
      <alignment horizontal="center"/>
    </xf>
    <xf numFmtId="2" fontId="0" fillId="0" borderId="2" xfId="0" applyNumberFormat="1" applyBorder="1" applyAlignment="1">
      <alignment horizontal="center"/>
    </xf>
    <xf numFmtId="2" fontId="6" fillId="0" borderId="2" xfId="0" applyNumberFormat="1" applyFont="1" applyBorder="1" applyAlignment="1">
      <alignment horizontal="center"/>
    </xf>
    <xf numFmtId="0" fontId="6" fillId="0" borderId="2" xfId="0" applyFont="1" applyBorder="1" applyAlignment="1">
      <alignment horizontal="right"/>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xf numFmtId="0" fontId="0" fillId="0" borderId="8" xfId="0" applyBorder="1"/>
    <xf numFmtId="2" fontId="8" fillId="0" borderId="2" xfId="0" applyNumberFormat="1" applyFont="1" applyBorder="1" applyAlignment="1">
      <alignment horizontal="center"/>
    </xf>
    <xf numFmtId="2" fontId="9" fillId="0" borderId="2" xfId="0" applyNumberFormat="1" applyFont="1" applyBorder="1" applyAlignment="1">
      <alignment horizontal="center"/>
    </xf>
    <xf numFmtId="0" fontId="0" fillId="0" borderId="10" xfId="0" applyBorder="1" applyAlignment="1">
      <alignment horizontal="center"/>
    </xf>
    <xf numFmtId="0" fontId="11" fillId="0" borderId="2" xfId="0" applyFont="1" applyBorder="1" applyAlignment="1">
      <alignment horizontal="center"/>
    </xf>
    <xf numFmtId="0" fontId="11" fillId="0" borderId="2" xfId="0" applyFont="1" applyBorder="1"/>
    <xf numFmtId="3" fontId="6" fillId="0" borderId="2" xfId="0" applyNumberFormat="1" applyFont="1" applyBorder="1" applyAlignment="1">
      <alignment horizontal="center"/>
    </xf>
    <xf numFmtId="3" fontId="0" fillId="0" borderId="2" xfId="0" applyNumberFormat="1" applyBorder="1" applyAlignment="1">
      <alignment horizontal="center"/>
    </xf>
    <xf numFmtId="0" fontId="6" fillId="0" borderId="0" xfId="0" applyFont="1" applyBorder="1" applyAlignment="1">
      <alignment horizontal="center"/>
    </xf>
    <xf numFmtId="0" fontId="0" fillId="2" borderId="2" xfId="0" applyFill="1" applyBorder="1" applyAlignment="1">
      <alignment horizontal="center"/>
    </xf>
    <xf numFmtId="0" fontId="9" fillId="0" borderId="0" xfId="0" applyFont="1"/>
    <xf numFmtId="0" fontId="12" fillId="0" borderId="0" xfId="0" applyFont="1" applyBorder="1"/>
    <xf numFmtId="0" fontId="12" fillId="0" borderId="0" xfId="0" applyFont="1"/>
    <xf numFmtId="15" fontId="12" fillId="0" borderId="0" xfId="0" applyNumberFormat="1" applyFont="1" applyBorder="1"/>
    <xf numFmtId="0" fontId="10" fillId="0" borderId="0" xfId="0" applyFont="1"/>
    <xf numFmtId="0" fontId="9" fillId="0" borderId="9" xfId="0" applyFont="1" applyBorder="1" applyAlignment="1">
      <alignment horizontal="center"/>
    </xf>
    <xf numFmtId="0" fontId="6" fillId="0" borderId="7" xfId="0" applyFont="1" applyBorder="1" applyAlignment="1">
      <alignment horizontal="center"/>
    </xf>
    <xf numFmtId="0" fontId="9" fillId="0" borderId="8" xfId="0" applyFont="1" applyBorder="1"/>
    <xf numFmtId="0" fontId="9" fillId="0" borderId="6" xfId="0" applyFont="1" applyBorder="1" applyAlignment="1">
      <alignment horizontal="center"/>
    </xf>
    <xf numFmtId="0" fontId="9" fillId="0" borderId="5" xfId="0" applyFont="1" applyBorder="1" applyAlignment="1">
      <alignment horizontal="center"/>
    </xf>
    <xf numFmtId="0" fontId="9" fillId="0" borderId="10" xfId="0" applyFont="1" applyBorder="1" applyAlignment="1">
      <alignment horizontal="center"/>
    </xf>
    <xf numFmtId="0" fontId="6" fillId="0" borderId="8" xfId="0" applyFont="1" applyBorder="1" applyAlignment="1">
      <alignment horizontal="center"/>
    </xf>
    <xf numFmtId="2" fontId="10" fillId="0" borderId="2" xfId="0" applyNumberFormat="1" applyFont="1" applyBorder="1" applyAlignment="1">
      <alignment horizontal="center"/>
    </xf>
    <xf numFmtId="2" fontId="6" fillId="0" borderId="12" xfId="0" applyNumberFormat="1" applyFont="1" applyFill="1" applyBorder="1" applyAlignment="1">
      <alignment horizontal="center"/>
    </xf>
    <xf numFmtId="1" fontId="0" fillId="0" borderId="2" xfId="0" applyNumberFormat="1" applyFill="1" applyBorder="1" applyAlignment="1">
      <alignment horizontal="center"/>
    </xf>
    <xf numFmtId="0" fontId="9" fillId="0" borderId="7" xfId="0" applyFont="1" applyBorder="1" applyAlignment="1">
      <alignment horizontal="center"/>
    </xf>
    <xf numFmtId="4" fontId="0" fillId="0" borderId="2" xfId="0" applyNumberFormat="1" applyBorder="1" applyAlignment="1">
      <alignment horizontal="center"/>
    </xf>
    <xf numFmtId="0" fontId="6" fillId="0" borderId="2" xfId="0" applyFont="1" applyFill="1" applyBorder="1" applyAlignment="1">
      <alignment horizontal="center"/>
    </xf>
    <xf numFmtId="1" fontId="0" fillId="0" borderId="8" xfId="0" applyNumberFormat="1" applyFill="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16" fontId="12" fillId="3" borderId="2" xfId="0" applyNumberFormat="1" applyFont="1" applyFill="1" applyBorder="1"/>
    <xf numFmtId="0" fontId="12" fillId="3" borderId="2" xfId="0" applyFont="1" applyFill="1" applyBorder="1" applyAlignment="1">
      <alignment horizontal="center"/>
    </xf>
    <xf numFmtId="16" fontId="9" fillId="3" borderId="2" xfId="0" applyNumberFormat="1" applyFont="1" applyFill="1" applyBorder="1"/>
    <xf numFmtId="0" fontId="9" fillId="3" borderId="2" xfId="0" applyFont="1" applyFill="1" applyBorder="1" applyAlignment="1">
      <alignment horizontal="center"/>
    </xf>
    <xf numFmtId="0" fontId="9" fillId="0" borderId="8" xfId="0" applyFont="1" applyBorder="1" applyAlignment="1">
      <alignment horizontal="center"/>
    </xf>
    <xf numFmtId="0" fontId="6" fillId="0" borderId="11" xfId="0" applyFont="1" applyBorder="1" applyAlignment="1">
      <alignment horizontal="center"/>
    </xf>
    <xf numFmtId="0" fontId="8" fillId="0" borderId="2" xfId="0" applyFont="1" applyBorder="1"/>
    <xf numFmtId="0" fontId="8" fillId="0" borderId="2" xfId="0" applyFont="1" applyBorder="1" applyAlignment="1">
      <alignment horizontal="center"/>
    </xf>
    <xf numFmtId="0" fontId="9" fillId="3" borderId="2" xfId="0" applyFont="1" applyFill="1" applyBorder="1"/>
    <xf numFmtId="15" fontId="0" fillId="0" borderId="1" xfId="0" applyNumberFormat="1" applyBorder="1"/>
    <xf numFmtId="15" fontId="9" fillId="0" borderId="1" xfId="0" applyNumberFormat="1" applyFont="1" applyBorder="1"/>
    <xf numFmtId="15" fontId="0" fillId="0" borderId="0" xfId="0" applyNumberFormat="1" applyBorder="1"/>
    <xf numFmtId="0" fontId="0" fillId="4" borderId="2" xfId="0" applyFill="1" applyBorder="1" applyAlignment="1">
      <alignment horizontal="center"/>
    </xf>
    <xf numFmtId="0" fontId="6" fillId="0" borderId="11" xfId="0" applyFont="1" applyBorder="1" applyAlignment="1">
      <alignment horizontal="right"/>
    </xf>
    <xf numFmtId="16" fontId="7" fillId="0" borderId="2" xfId="0" applyNumberFormat="1" applyFont="1" applyFill="1" applyBorder="1"/>
    <xf numFmtId="0" fontId="7" fillId="0" borderId="2" xfId="0" applyFont="1" applyFill="1" applyBorder="1" applyAlignment="1">
      <alignment horizontal="center"/>
    </xf>
    <xf numFmtId="0" fontId="7" fillId="0" borderId="8" xfId="0" applyFont="1" applyFill="1" applyBorder="1" applyAlignment="1">
      <alignment horizontal="center"/>
    </xf>
    <xf numFmtId="2" fontId="13" fillId="0" borderId="2" xfId="0" applyNumberFormat="1" applyFont="1" applyBorder="1" applyAlignment="1">
      <alignment horizontal="center"/>
    </xf>
    <xf numFmtId="0" fontId="0" fillId="0" borderId="1" xfId="0" applyNumberFormat="1" applyBorder="1" applyAlignment="1">
      <alignment horizontal="right"/>
    </xf>
    <xf numFmtId="0" fontId="9" fillId="0" borderId="1" xfId="0" applyNumberFormat="1" applyFont="1" applyBorder="1" applyAlignment="1">
      <alignment horizontal="right"/>
    </xf>
    <xf numFmtId="0" fontId="15" fillId="0" borderId="0" xfId="1" applyFont="1"/>
    <xf numFmtId="0" fontId="5" fillId="0" borderId="0" xfId="1"/>
    <xf numFmtId="0" fontId="15" fillId="0" borderId="0" xfId="1" applyFont="1" applyProtection="1">
      <protection locked="0"/>
    </xf>
    <xf numFmtId="0" fontId="5" fillId="10" borderId="0" xfId="1" applyFont="1" applyFill="1" applyProtection="1">
      <protection locked="0"/>
    </xf>
    <xf numFmtId="0" fontId="16" fillId="10" borderId="0" xfId="1" applyFont="1" applyFill="1" applyProtection="1">
      <protection locked="0"/>
    </xf>
    <xf numFmtId="0" fontId="5" fillId="10" borderId="0" xfId="1" applyFill="1" applyProtection="1">
      <protection locked="0"/>
    </xf>
    <xf numFmtId="0" fontId="5" fillId="11" borderId="0" xfId="1" applyFont="1" applyFill="1" applyProtection="1">
      <protection locked="0"/>
    </xf>
    <xf numFmtId="0" fontId="5" fillId="11" borderId="0" xfId="1" applyFill="1" applyProtection="1">
      <protection locked="0"/>
    </xf>
    <xf numFmtId="0" fontId="33" fillId="12" borderId="0" xfId="1" applyFont="1" applyFill="1" applyAlignment="1">
      <alignment horizontal="right"/>
    </xf>
    <xf numFmtId="0" fontId="33" fillId="12" borderId="0" xfId="1" applyFont="1" applyFill="1"/>
    <xf numFmtId="0" fontId="15" fillId="12" borderId="0" xfId="1" applyFont="1" applyFill="1"/>
    <xf numFmtId="0" fontId="5" fillId="12" borderId="0" xfId="1" applyFont="1" applyFill="1"/>
    <xf numFmtId="0" fontId="5" fillId="12" borderId="0" xfId="1" applyFont="1" applyFill="1" applyAlignment="1">
      <alignment horizontal="right"/>
    </xf>
    <xf numFmtId="1" fontId="5" fillId="12" borderId="0" xfId="1" applyNumberFormat="1" applyFont="1" applyFill="1"/>
    <xf numFmtId="1" fontId="5" fillId="12" borderId="0" xfId="1" applyNumberFormat="1" applyFill="1"/>
    <xf numFmtId="0" fontId="5" fillId="12" borderId="0" xfId="1" applyFill="1"/>
    <xf numFmtId="1" fontId="15" fillId="12" borderId="0" xfId="1" applyNumberFormat="1" applyFont="1" applyFill="1"/>
    <xf numFmtId="9" fontId="15" fillId="12" borderId="0" xfId="1" applyNumberFormat="1" applyFont="1" applyFill="1"/>
    <xf numFmtId="0" fontId="5" fillId="12" borderId="0" xfId="1" quotePrefix="1" applyFont="1" applyFill="1"/>
    <xf numFmtId="2" fontId="15" fillId="12" borderId="0" xfId="1" applyNumberFormat="1" applyFont="1" applyFill="1"/>
    <xf numFmtId="0" fontId="16" fillId="12" borderId="0" xfId="1" applyFont="1" applyFill="1"/>
    <xf numFmtId="0" fontId="5" fillId="12" borderId="0" xfId="1" applyFont="1" applyFill="1" applyProtection="1">
      <protection locked="0"/>
    </xf>
    <xf numFmtId="0" fontId="34" fillId="12" borderId="0" xfId="1" applyFont="1" applyFill="1"/>
    <xf numFmtId="0" fontId="5" fillId="0" borderId="0" xfId="0" applyFont="1"/>
    <xf numFmtId="0" fontId="15" fillId="0" borderId="0" xfId="0" applyFont="1"/>
    <xf numFmtId="0" fontId="5" fillId="0" borderId="0" xfId="0" applyFont="1" applyBorder="1"/>
    <xf numFmtId="3" fontId="5" fillId="0" borderId="0" xfId="0" applyNumberFormat="1" applyFont="1" applyBorder="1" applyAlignment="1">
      <alignment horizontal="right"/>
    </xf>
    <xf numFmtId="1" fontId="5" fillId="0" borderId="0" xfId="0" applyNumberFormat="1" applyFont="1" applyBorder="1"/>
    <xf numFmtId="0" fontId="5" fillId="0" borderId="0" xfId="0" applyFont="1" applyFill="1" applyBorder="1"/>
    <xf numFmtId="0" fontId="35" fillId="0" borderId="0" xfId="0" applyFont="1" applyBorder="1"/>
    <xf numFmtId="3" fontId="35" fillId="0" borderId="0" xfId="0" applyNumberFormat="1" applyFont="1" applyBorder="1" applyAlignment="1">
      <alignment horizontal="right"/>
    </xf>
    <xf numFmtId="0" fontId="35" fillId="0" borderId="0" xfId="0" applyFont="1"/>
    <xf numFmtId="0" fontId="15" fillId="0" borderId="0" xfId="0" applyFont="1" applyAlignment="1">
      <alignment horizontal="right"/>
    </xf>
    <xf numFmtId="0" fontId="15" fillId="0" borderId="0" xfId="0" applyFont="1" applyBorder="1"/>
    <xf numFmtId="3" fontId="5" fillId="0" borderId="0" xfId="0" applyNumberFormat="1" applyFont="1" applyBorder="1"/>
    <xf numFmtId="0" fontId="36" fillId="0" borderId="0" xfId="0" applyFont="1" applyBorder="1"/>
    <xf numFmtId="0" fontId="37" fillId="0" borderId="0" xfId="0" applyFont="1" applyBorder="1"/>
    <xf numFmtId="3" fontId="15" fillId="0" borderId="0" xfId="0" applyNumberFormat="1" applyFont="1" applyBorder="1"/>
    <xf numFmtId="0" fontId="5" fillId="0" borderId="0" xfId="0" applyFont="1" applyBorder="1" applyAlignment="1">
      <alignment horizontal="right"/>
    </xf>
    <xf numFmtId="0" fontId="15" fillId="0" borderId="0" xfId="0" applyFont="1" applyBorder="1" applyAlignment="1">
      <alignment horizontal="right"/>
    </xf>
    <xf numFmtId="3" fontId="15" fillId="0" borderId="0" xfId="0" applyNumberFormat="1" applyFont="1" applyBorder="1" applyAlignment="1">
      <alignment horizontal="right"/>
    </xf>
    <xf numFmtId="0" fontId="15" fillId="0" borderId="0" xfId="0" applyFont="1" applyFill="1" applyBorder="1" applyAlignment="1">
      <alignment horizontal="right"/>
    </xf>
    <xf numFmtId="3" fontId="15" fillId="12" borderId="0" xfId="0" applyNumberFormat="1" applyFont="1" applyFill="1" applyBorder="1" applyAlignment="1">
      <alignment horizontal="right"/>
    </xf>
    <xf numFmtId="0" fontId="40" fillId="0" borderId="0" xfId="48" applyFont="1"/>
    <xf numFmtId="0" fontId="25" fillId="0" borderId="0" xfId="48" applyFont="1"/>
    <xf numFmtId="0" fontId="41" fillId="0" borderId="0" xfId="48" applyFont="1"/>
    <xf numFmtId="0" fontId="42" fillId="0" borderId="0" xfId="48" applyFont="1"/>
    <xf numFmtId="0" fontId="39" fillId="0" borderId="2" xfId="48" applyFill="1" applyBorder="1"/>
    <xf numFmtId="0" fontId="43" fillId="0" borderId="0" xfId="48" applyFont="1"/>
    <xf numFmtId="0" fontId="39" fillId="13" borderId="0" xfId="48" applyFill="1"/>
    <xf numFmtId="0" fontId="39" fillId="0" borderId="0" xfId="48"/>
    <xf numFmtId="0" fontId="39" fillId="10" borderId="0" xfId="48" applyFill="1"/>
    <xf numFmtId="0" fontId="41" fillId="0" borderId="0" xfId="48" quotePrefix="1" applyFont="1"/>
    <xf numFmtId="0" fontId="44" fillId="0" borderId="0" xfId="48" applyFont="1" applyAlignment="1">
      <alignment vertical="center"/>
    </xf>
    <xf numFmtId="0" fontId="46" fillId="0" borderId="0" xfId="0" applyFont="1" applyFill="1"/>
    <xf numFmtId="0" fontId="47" fillId="0" borderId="0" xfId="0" applyFont="1" applyFill="1"/>
    <xf numFmtId="183" fontId="33" fillId="12" borderId="0" xfId="1" applyNumberFormat="1" applyFont="1" applyFill="1"/>
    <xf numFmtId="0" fontId="33" fillId="12" borderId="0" xfId="1" applyFont="1" applyFill="1" applyAlignment="1">
      <alignment horizontal="left"/>
    </xf>
    <xf numFmtId="0" fontId="4" fillId="0" borderId="0" xfId="0" applyFont="1"/>
    <xf numFmtId="0" fontId="4" fillId="0" borderId="0" xfId="0" quotePrefix="1" applyFont="1"/>
    <xf numFmtId="0" fontId="15" fillId="0" borderId="0" xfId="0" applyFont="1" applyFill="1"/>
    <xf numFmtId="3" fontId="15" fillId="0" borderId="0" xfId="43" applyFont="1" applyFill="1"/>
    <xf numFmtId="0" fontId="35" fillId="0" borderId="0" xfId="0" applyFont="1" applyFill="1"/>
    <xf numFmtId="183" fontId="16" fillId="10" borderId="0" xfId="0" applyNumberFormat="1" applyFont="1" applyFill="1" applyProtection="1">
      <protection locked="0"/>
    </xf>
    <xf numFmtId="0" fontId="16" fillId="0" borderId="0" xfId="0" applyFont="1" applyFill="1" applyProtection="1">
      <protection locked="0"/>
    </xf>
    <xf numFmtId="0" fontId="35" fillId="0" borderId="0" xfId="0" quotePrefix="1" applyFont="1" applyFill="1"/>
    <xf numFmtId="0" fontId="48" fillId="0" borderId="0" xfId="0" applyFont="1"/>
    <xf numFmtId="0" fontId="4" fillId="12" borderId="0" xfId="1" applyFont="1" applyFill="1"/>
    <xf numFmtId="0" fontId="4" fillId="0" borderId="0" xfId="0" applyFont="1" applyAlignment="1">
      <alignment horizontal="right"/>
    </xf>
    <xf numFmtId="0" fontId="49" fillId="0" borderId="0" xfId="0" applyFont="1"/>
    <xf numFmtId="0" fontId="33" fillId="0" borderId="0" xfId="0" applyFont="1"/>
    <xf numFmtId="183" fontId="33" fillId="0" borderId="0" xfId="0" applyNumberFormat="1" applyFont="1"/>
    <xf numFmtId="0" fontId="33" fillId="0" borderId="0" xfId="0" applyFont="1" applyBorder="1"/>
    <xf numFmtId="183" fontId="33" fillId="0" borderId="0" xfId="0" applyNumberFormat="1" applyFont="1" applyBorder="1"/>
    <xf numFmtId="0" fontId="50" fillId="12" borderId="0" xfId="1" applyFont="1" applyFill="1"/>
    <xf numFmtId="3" fontId="5" fillId="10" borderId="0" xfId="0" applyNumberFormat="1" applyFont="1" applyFill="1" applyBorder="1" applyAlignment="1" applyProtection="1">
      <alignment horizontal="right"/>
      <protection locked="0"/>
    </xf>
    <xf numFmtId="0" fontId="4" fillId="0" borderId="0" xfId="0" applyFont="1" applyProtection="1">
      <protection locked="0"/>
    </xf>
    <xf numFmtId="184" fontId="5" fillId="12" borderId="0" xfId="1" applyNumberFormat="1" applyFill="1"/>
    <xf numFmtId="0" fontId="4" fillId="12" borderId="0" xfId="52" applyFill="1" applyBorder="1"/>
    <xf numFmtId="0" fontId="4" fillId="12" borderId="0" xfId="52" applyFill="1" applyBorder="1" applyProtection="1">
      <protection locked="0"/>
    </xf>
    <xf numFmtId="0" fontId="15" fillId="0" borderId="0" xfId="52" applyFont="1" applyBorder="1"/>
    <xf numFmtId="0" fontId="4" fillId="10" borderId="0" xfId="52" applyFill="1" applyBorder="1" applyProtection="1">
      <protection locked="0"/>
    </xf>
    <xf numFmtId="0" fontId="4" fillId="10" borderId="0" xfId="52" applyFill="1" applyBorder="1" applyAlignment="1" applyProtection="1">
      <alignment horizontal="right"/>
      <protection locked="0"/>
    </xf>
    <xf numFmtId="1" fontId="4" fillId="12" borderId="0" xfId="52" applyNumberFormat="1" applyFill="1" applyBorder="1" applyProtection="1"/>
    <xf numFmtId="0" fontId="4" fillId="12" borderId="0" xfId="52" applyFill="1" applyBorder="1" applyProtection="1"/>
    <xf numFmtId="0" fontId="4" fillId="12" borderId="0" xfId="1" applyFont="1" applyFill="1" applyProtection="1"/>
    <xf numFmtId="0" fontId="5" fillId="12" borderId="0" xfId="1" applyFont="1" applyFill="1" applyProtection="1"/>
    <xf numFmtId="0" fontId="5" fillId="0" borderId="22" xfId="0" applyFont="1" applyBorder="1" applyAlignment="1">
      <alignment horizontal="center"/>
    </xf>
    <xf numFmtId="0" fontId="5" fillId="0" borderId="16" xfId="0" applyFont="1" applyBorder="1"/>
    <xf numFmtId="0" fontId="5" fillId="0" borderId="17" xfId="0" applyFont="1" applyBorder="1"/>
    <xf numFmtId="0" fontId="5" fillId="0" borderId="18" xfId="0" applyFont="1" applyBorder="1"/>
    <xf numFmtId="0" fontId="5" fillId="0" borderId="21" xfId="0" applyFont="1" applyBorder="1" applyAlignment="1">
      <alignment horizontal="center"/>
    </xf>
    <xf numFmtId="0" fontId="4" fillId="0" borderId="23" xfId="0" applyFont="1" applyBorder="1" applyAlignment="1">
      <alignment horizontal="center"/>
    </xf>
    <xf numFmtId="0" fontId="37" fillId="0" borderId="0" xfId="0" applyFont="1"/>
    <xf numFmtId="0" fontId="37" fillId="0" borderId="16" xfId="0" applyFont="1" applyBorder="1" applyAlignment="1">
      <alignment horizontal="center"/>
    </xf>
    <xf numFmtId="0" fontId="37" fillId="0" borderId="19" xfId="0" applyFont="1" applyBorder="1" applyAlignment="1">
      <alignment horizontal="center"/>
    </xf>
    <xf numFmtId="0" fontId="37" fillId="0" borderId="21" xfId="0" applyFont="1" applyBorder="1" applyAlignment="1">
      <alignment horizontal="center"/>
    </xf>
    <xf numFmtId="0" fontId="15" fillId="0" borderId="19" xfId="0" applyFont="1" applyBorder="1" applyAlignment="1">
      <alignment horizontal="center"/>
    </xf>
    <xf numFmtId="0" fontId="15" fillId="0" borderId="0" xfId="0" applyFont="1" applyBorder="1" applyAlignment="1">
      <alignment horizontal="center"/>
    </xf>
    <xf numFmtId="0" fontId="15" fillId="0" borderId="20" xfId="0" applyFont="1" applyBorder="1" applyAlignment="1">
      <alignment horizontal="center"/>
    </xf>
    <xf numFmtId="0" fontId="37" fillId="0" borderId="19" xfId="0" quotePrefix="1" applyFont="1" applyBorder="1" applyAlignment="1">
      <alignment horizontal="center"/>
    </xf>
    <xf numFmtId="0" fontId="4" fillId="0" borderId="0" xfId="0" applyFont="1" applyBorder="1"/>
    <xf numFmtId="1" fontId="5" fillId="0" borderId="0" xfId="0" applyNumberFormat="1" applyFont="1"/>
    <xf numFmtId="0" fontId="14" fillId="10" borderId="0" xfId="1" applyFont="1" applyFill="1" applyProtection="1">
      <protection locked="0"/>
    </xf>
    <xf numFmtId="3" fontId="37" fillId="15" borderId="0" xfId="0" applyNumberFormat="1" applyFont="1" applyFill="1" applyBorder="1" applyAlignment="1">
      <alignment horizontal="center"/>
    </xf>
    <xf numFmtId="2" fontId="37" fillId="15" borderId="0" xfId="0" applyNumberFormat="1" applyFont="1" applyFill="1" applyBorder="1" applyAlignment="1">
      <alignment horizontal="center"/>
    </xf>
    <xf numFmtId="0" fontId="51" fillId="12" borderId="0" xfId="0" applyFont="1" applyFill="1"/>
    <xf numFmtId="0" fontId="3" fillId="12" borderId="0" xfId="0" applyFont="1" applyFill="1"/>
    <xf numFmtId="0" fontId="49" fillId="12" borderId="0" xfId="0" applyFont="1" applyFill="1"/>
    <xf numFmtId="0" fontId="49" fillId="12" borderId="16" xfId="0" applyFont="1" applyFill="1" applyBorder="1"/>
    <xf numFmtId="0" fontId="49" fillId="12" borderId="17" xfId="0" applyFont="1" applyFill="1" applyBorder="1"/>
    <xf numFmtId="0" fontId="49" fillId="12" borderId="19" xfId="0" applyFont="1" applyFill="1" applyBorder="1"/>
    <xf numFmtId="0" fontId="49" fillId="12" borderId="0" xfId="0" applyFont="1" applyFill="1" applyBorder="1"/>
    <xf numFmtId="0" fontId="49" fillId="12" borderId="20" xfId="0" applyFont="1" applyFill="1" applyBorder="1"/>
    <xf numFmtId="0" fontId="49" fillId="12" borderId="21" xfId="0" applyFont="1" applyFill="1" applyBorder="1"/>
    <xf numFmtId="0" fontId="49" fillId="12" borderId="22" xfId="0" applyFont="1" applyFill="1" applyBorder="1"/>
    <xf numFmtId="0" fontId="49" fillId="12" borderId="23" xfId="0" applyFont="1" applyFill="1" applyBorder="1"/>
    <xf numFmtId="0" fontId="49" fillId="12" borderId="18" xfId="0" quotePrefix="1" applyFont="1" applyFill="1" applyBorder="1"/>
    <xf numFmtId="3" fontId="37" fillId="14" borderId="17" xfId="0" applyNumberFormat="1" applyFont="1" applyFill="1" applyBorder="1" applyAlignment="1">
      <alignment horizontal="center"/>
    </xf>
    <xf numFmtId="3" fontId="37" fillId="14" borderId="18" xfId="0" applyNumberFormat="1" applyFont="1" applyFill="1" applyBorder="1" applyAlignment="1">
      <alignment horizontal="center"/>
    </xf>
    <xf numFmtId="3" fontId="37" fillId="14" borderId="0" xfId="0" applyNumberFormat="1" applyFont="1" applyFill="1" applyBorder="1" applyAlignment="1">
      <alignment horizontal="center"/>
    </xf>
    <xf numFmtId="3" fontId="37" fillId="14" borderId="20" xfId="0" applyNumberFormat="1" applyFont="1" applyFill="1" applyBorder="1" applyAlignment="1">
      <alignment horizontal="center"/>
    </xf>
    <xf numFmtId="3" fontId="37" fillId="16" borderId="0" xfId="0" applyNumberFormat="1" applyFont="1" applyFill="1" applyBorder="1" applyAlignment="1">
      <alignment horizontal="center"/>
    </xf>
    <xf numFmtId="3" fontId="37" fillId="17" borderId="0" xfId="0" applyNumberFormat="1" applyFont="1" applyFill="1" applyBorder="1" applyAlignment="1">
      <alignment horizontal="center"/>
    </xf>
    <xf numFmtId="3" fontId="37" fillId="15" borderId="20" xfId="0" applyNumberFormat="1" applyFont="1" applyFill="1" applyBorder="1" applyAlignment="1">
      <alignment horizontal="center"/>
    </xf>
    <xf numFmtId="3" fontId="37" fillId="17" borderId="22" xfId="0" applyNumberFormat="1" applyFont="1" applyFill="1" applyBorder="1" applyAlignment="1">
      <alignment horizontal="center"/>
    </xf>
    <xf numFmtId="3" fontId="37" fillId="16" borderId="23" xfId="0" applyNumberFormat="1" applyFont="1" applyFill="1" applyBorder="1" applyAlignment="1">
      <alignment horizontal="center"/>
    </xf>
    <xf numFmtId="2" fontId="37" fillId="14" borderId="17" xfId="0" applyNumberFormat="1" applyFont="1" applyFill="1" applyBorder="1" applyAlignment="1">
      <alignment horizontal="center"/>
    </xf>
    <xf numFmtId="2" fontId="37" fillId="14" borderId="18" xfId="0" applyNumberFormat="1" applyFont="1" applyFill="1" applyBorder="1" applyAlignment="1">
      <alignment horizontal="center"/>
    </xf>
    <xf numFmtId="2" fontId="37" fillId="14" borderId="0" xfId="0" applyNumberFormat="1" applyFont="1" applyFill="1" applyBorder="1" applyAlignment="1">
      <alignment horizontal="center"/>
    </xf>
    <xf numFmtId="2" fontId="37" fillId="14" borderId="20" xfId="0" applyNumberFormat="1" applyFont="1" applyFill="1" applyBorder="1" applyAlignment="1">
      <alignment horizontal="center"/>
    </xf>
    <xf numFmtId="2" fontId="37" fillId="16" borderId="0" xfId="0" applyNumberFormat="1" applyFont="1" applyFill="1" applyBorder="1" applyAlignment="1">
      <alignment horizontal="center"/>
    </xf>
    <xf numFmtId="2" fontId="37" fillId="17" borderId="0" xfId="0" applyNumberFormat="1" applyFont="1" applyFill="1" applyBorder="1" applyAlignment="1">
      <alignment horizontal="center"/>
    </xf>
    <xf numFmtId="2" fontId="37" fillId="15" borderId="20" xfId="0" applyNumberFormat="1" applyFont="1" applyFill="1" applyBorder="1" applyAlignment="1">
      <alignment horizontal="center"/>
    </xf>
    <xf numFmtId="2" fontId="37" fillId="17" borderId="22" xfId="0" applyNumberFormat="1" applyFont="1" applyFill="1" applyBorder="1" applyAlignment="1">
      <alignment horizontal="center"/>
    </xf>
    <xf numFmtId="2" fontId="37" fillId="16" borderId="23" xfId="0" applyNumberFormat="1" applyFont="1" applyFill="1" applyBorder="1" applyAlignment="1">
      <alignment horizontal="center"/>
    </xf>
    <xf numFmtId="0" fontId="4" fillId="10" borderId="0" xfId="0" applyFont="1" applyFill="1" applyBorder="1" applyProtection="1">
      <protection locked="0"/>
    </xf>
    <xf numFmtId="185" fontId="4" fillId="0" borderId="0" xfId="0" applyNumberFormat="1" applyFont="1" applyProtection="1">
      <protection locked="0"/>
    </xf>
    <xf numFmtId="0" fontId="2" fillId="10" borderId="0" xfId="0" applyFont="1" applyFill="1" applyProtection="1">
      <protection locked="0"/>
    </xf>
    <xf numFmtId="0" fontId="2" fillId="0" borderId="0" xfId="0" applyFont="1"/>
    <xf numFmtId="0" fontId="37" fillId="0" borderId="0" xfId="0" applyFont="1" applyBorder="1" applyAlignment="1">
      <alignment horizontal="center"/>
    </xf>
    <xf numFmtId="0" fontId="37" fillId="0" borderId="0" xfId="0" applyFont="1" applyBorder="1" applyAlignment="1">
      <alignment horizontal="left"/>
    </xf>
    <xf numFmtId="0" fontId="37" fillId="0" borderId="0" xfId="0" applyFont="1" applyAlignment="1">
      <alignment horizontal="left"/>
    </xf>
    <xf numFmtId="186" fontId="4" fillId="0" borderId="0" xfId="0" applyNumberFormat="1" applyFont="1" applyFill="1" applyAlignment="1">
      <alignment horizontal="center"/>
    </xf>
    <xf numFmtId="0" fontId="36" fillId="12" borderId="0" xfId="0" applyFont="1" applyFill="1"/>
    <xf numFmtId="0" fontId="37" fillId="12" borderId="0" xfId="0" applyFont="1" applyFill="1"/>
    <xf numFmtId="0" fontId="2" fillId="12" borderId="0" xfId="1" applyFont="1" applyFill="1"/>
    <xf numFmtId="0" fontId="37" fillId="0" borderId="0" xfId="0" applyFont="1" applyFill="1"/>
    <xf numFmtId="0" fontId="49" fillId="12" borderId="0" xfId="1" applyFont="1" applyFill="1"/>
    <xf numFmtId="9" fontId="33" fillId="12" borderId="0" xfId="1" applyNumberFormat="1" applyFont="1" applyFill="1"/>
    <xf numFmtId="0" fontId="49" fillId="0" borderId="0" xfId="1" applyFont="1"/>
    <xf numFmtId="0" fontId="15" fillId="12" borderId="16" xfId="1" applyFont="1" applyFill="1" applyBorder="1"/>
    <xf numFmtId="0" fontId="15" fillId="12" borderId="17" xfId="1" applyFont="1" applyFill="1" applyBorder="1"/>
    <xf numFmtId="0" fontId="5" fillId="12" borderId="17" xfId="1" applyFont="1" applyFill="1" applyBorder="1"/>
    <xf numFmtId="0" fontId="15" fillId="0" borderId="17" xfId="52" applyFont="1" applyBorder="1"/>
    <xf numFmtId="0" fontId="5" fillId="12" borderId="19" xfId="1" applyFont="1" applyFill="1" applyBorder="1"/>
    <xf numFmtId="0" fontId="5" fillId="12" borderId="0" xfId="1" applyFont="1" applyFill="1" applyBorder="1"/>
    <xf numFmtId="0" fontId="15" fillId="12" borderId="19" xfId="1" applyFont="1" applyFill="1" applyBorder="1"/>
    <xf numFmtId="0" fontId="5" fillId="12" borderId="0" xfId="1" applyFont="1" applyFill="1" applyBorder="1" applyAlignment="1">
      <alignment horizontal="right"/>
    </xf>
    <xf numFmtId="0" fontId="4" fillId="12" borderId="0" xfId="1" applyFont="1" applyFill="1" applyBorder="1"/>
    <xf numFmtId="0" fontId="5" fillId="10" borderId="0" xfId="1" applyFont="1" applyFill="1" applyBorder="1" applyProtection="1">
      <protection locked="0"/>
    </xf>
    <xf numFmtId="0" fontId="5" fillId="12" borderId="0" xfId="1" applyFont="1" applyFill="1" applyBorder="1" applyProtection="1">
      <protection locked="0"/>
    </xf>
    <xf numFmtId="0" fontId="5" fillId="12" borderId="0" xfId="1" applyFill="1" applyBorder="1"/>
    <xf numFmtId="0" fontId="5" fillId="11" borderId="0" xfId="1" applyFont="1" applyFill="1" applyBorder="1" applyProtection="1">
      <protection locked="0"/>
    </xf>
    <xf numFmtId="1" fontId="5" fillId="12" borderId="0" xfId="1" applyNumberFormat="1" applyFont="1" applyFill="1" applyBorder="1"/>
    <xf numFmtId="0" fontId="5" fillId="10" borderId="0" xfId="1" applyFill="1" applyBorder="1" applyProtection="1">
      <protection locked="0"/>
    </xf>
    <xf numFmtId="0" fontId="16" fillId="12" borderId="19" xfId="1" applyFont="1" applyFill="1" applyBorder="1"/>
    <xf numFmtId="0" fontId="16" fillId="10" borderId="0" xfId="1" applyFont="1" applyFill="1" applyBorder="1" applyProtection="1">
      <protection locked="0"/>
    </xf>
    <xf numFmtId="0" fontId="14" fillId="10" borderId="0" xfId="1" applyFont="1" applyFill="1" applyBorder="1" applyProtection="1">
      <protection locked="0"/>
    </xf>
    <xf numFmtId="0" fontId="5" fillId="11" borderId="0" xfId="1" applyFill="1" applyBorder="1" applyProtection="1">
      <protection locked="0"/>
    </xf>
    <xf numFmtId="1" fontId="5" fillId="12" borderId="0" xfId="1" applyNumberFormat="1" applyFill="1" applyBorder="1"/>
    <xf numFmtId="0" fontId="4" fillId="12" borderId="0" xfId="1" applyFont="1" applyFill="1" applyBorder="1" applyProtection="1"/>
    <xf numFmtId="0" fontId="34" fillId="12" borderId="19" xfId="1" applyFont="1" applyFill="1" applyBorder="1"/>
    <xf numFmtId="0" fontId="34" fillId="12" borderId="0" xfId="1" applyFont="1" applyFill="1" applyBorder="1"/>
    <xf numFmtId="0" fontId="50" fillId="12" borderId="0" xfId="1" applyFont="1" applyFill="1" applyBorder="1"/>
    <xf numFmtId="0" fontId="15" fillId="12" borderId="0" xfId="1" applyFont="1" applyFill="1" applyBorder="1"/>
    <xf numFmtId="0" fontId="5" fillId="12" borderId="19" xfId="1" quotePrefix="1" applyFont="1" applyFill="1" applyBorder="1"/>
    <xf numFmtId="184" fontId="5" fillId="12" borderId="0" xfId="1" applyNumberFormat="1" applyFill="1" applyBorder="1"/>
    <xf numFmtId="0" fontId="15" fillId="0" borderId="0" xfId="1" applyFont="1" applyBorder="1" applyProtection="1">
      <protection locked="0"/>
    </xf>
    <xf numFmtId="1" fontId="15" fillId="12" borderId="0" xfId="1" applyNumberFormat="1" applyFont="1" applyFill="1" applyBorder="1"/>
    <xf numFmtId="0" fontId="5" fillId="12" borderId="19" xfId="1" applyFill="1" applyBorder="1"/>
    <xf numFmtId="0" fontId="5" fillId="12" borderId="0" xfId="1" applyFont="1" applyFill="1" applyBorder="1" applyProtection="1"/>
    <xf numFmtId="9" fontId="15" fillId="12" borderId="0" xfId="1" applyNumberFormat="1" applyFont="1" applyFill="1" applyBorder="1"/>
    <xf numFmtId="0" fontId="15" fillId="12" borderId="21" xfId="1" applyFont="1" applyFill="1" applyBorder="1"/>
    <xf numFmtId="2" fontId="15" fillId="12" borderId="22" xfId="1" applyNumberFormat="1" applyFont="1" applyFill="1" applyBorder="1"/>
    <xf numFmtId="0" fontId="15" fillId="12" borderId="22" xfId="1" applyFont="1" applyFill="1" applyBorder="1"/>
    <xf numFmtId="1" fontId="15" fillId="12" borderId="22" xfId="1" applyNumberFormat="1" applyFont="1" applyFill="1" applyBorder="1"/>
    <xf numFmtId="9" fontId="15" fillId="12" borderId="22" xfId="1" applyNumberFormat="1" applyFont="1" applyFill="1" applyBorder="1"/>
    <xf numFmtId="0" fontId="1" fillId="12" borderId="0" xfId="1" applyFont="1" applyFill="1"/>
    <xf numFmtId="0" fontId="1" fillId="0" borderId="0" xfId="1" applyFont="1"/>
    <xf numFmtId="0" fontId="52" fillId="12" borderId="0" xfId="1" applyFont="1" applyFill="1"/>
    <xf numFmtId="0" fontId="52" fillId="0" borderId="0" xfId="1" applyFont="1"/>
    <xf numFmtId="1" fontId="52" fillId="12" borderId="0" xfId="1" applyNumberFormat="1" applyFont="1" applyFill="1"/>
    <xf numFmtId="9" fontId="52" fillId="12" borderId="0" xfId="1" applyNumberFormat="1" applyFont="1" applyFill="1"/>
    <xf numFmtId="0" fontId="52" fillId="12" borderId="0" xfId="1" quotePrefix="1" applyFont="1" applyFill="1"/>
    <xf numFmtId="0" fontId="33" fillId="18" borderId="0" xfId="1" applyFont="1" applyFill="1"/>
    <xf numFmtId="0" fontId="49" fillId="18" borderId="0" xfId="1" applyFont="1" applyFill="1"/>
    <xf numFmtId="1" fontId="33" fillId="18" borderId="0" xfId="1" applyNumberFormat="1" applyFont="1" applyFill="1"/>
    <xf numFmtId="0" fontId="1" fillId="12" borderId="0" xfId="1" applyFont="1" applyFill="1" applyBorder="1"/>
    <xf numFmtId="0" fontId="41" fillId="0" borderId="0" xfId="48" applyFont="1" applyFill="1"/>
    <xf numFmtId="0" fontId="0" fillId="0" borderId="9"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9" xfId="0"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9" fillId="0" borderId="9"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cellXfs>
  <cellStyles count="55">
    <cellStyle name="Calc0" xfId="2"/>
    <cellStyle name="Calc1" xfId="3"/>
    <cellStyle name="Comma 2" xfId="49"/>
    <cellStyle name="Currency 2" xfId="50"/>
    <cellStyle name="Currency0" xfId="4"/>
    <cellStyle name="DE0" xfId="5"/>
    <cellStyle name="DE2" xfId="6"/>
    <cellStyle name="Final0" xfId="7"/>
    <cellStyle name="Formulae" xfId="8"/>
    <cellStyle name="Hdg1" xfId="9"/>
    <cellStyle name="Hdg2" xfId="10"/>
    <cellStyle name="Hdg3" xfId="11"/>
    <cellStyle name="HyperHdg3" xfId="12"/>
    <cellStyle name="INPUT DATE" xfId="13"/>
    <cellStyle name="INPUT%" xfId="14"/>
    <cellStyle name="INPUT.00" xfId="15"/>
    <cellStyle name="INPUT£" xfId="16"/>
    <cellStyle name="INPUT£/ha" xfId="17"/>
    <cellStyle name="INPUT£/tonne" xfId="18"/>
    <cellStyle name="INPUTCalculate" xfId="19"/>
    <cellStyle name="INPUTcash" xfId="20"/>
    <cellStyle name="InputConf" xfId="21"/>
    <cellStyle name="INPUTCurrency" xfId="22"/>
    <cellStyle name="INPUTDate" xfId="23"/>
    <cellStyle name="InputDays" xfId="24"/>
    <cellStyle name="InputFat" xfId="25"/>
    <cellStyle name="INPUTgen" xfId="26"/>
    <cellStyle name="INPUTgeneral" xfId="27"/>
    <cellStyle name="INPUTha" xfId="28"/>
    <cellStyle name="INPUThead" xfId="29"/>
    <cellStyle name="INPUThead/ha" xfId="30"/>
    <cellStyle name="INPUTInteger" xfId="31"/>
    <cellStyle name="INPUTkg" xfId="32"/>
    <cellStyle name="INPUTkg/ha" xfId="33"/>
    <cellStyle name="INPUTkg/head" xfId="34"/>
    <cellStyle name="INPUTnum0" xfId="35"/>
    <cellStyle name="INPUTnum0.00" xfId="36"/>
    <cellStyle name="INPUTp/kg" xfId="37"/>
    <cellStyle name="INPUTtonnes" xfId="38"/>
    <cellStyle name="INPUTtonnes/ha" xfId="39"/>
    <cellStyle name="Link0" xfId="40"/>
    <cellStyle name="Link1" xfId="41"/>
    <cellStyle name="LinkPC1" xfId="42"/>
    <cellStyle name="Normal" xfId="0" builtinId="0"/>
    <cellStyle name="Normal 2" xfId="1"/>
    <cellStyle name="Normal 2 2" xfId="52"/>
    <cellStyle name="Normal 3" xfId="43"/>
    <cellStyle name="Normal 3 2" xfId="53"/>
    <cellStyle name="Normal 4" xfId="48"/>
    <cellStyle name="Normal 4 2" xfId="54"/>
    <cellStyle name="Normal 5" xfId="51"/>
    <cellStyle name="Param0" xfId="44"/>
    <cellStyle name="Param1" xfId="45"/>
    <cellStyle name="ParamPC1" xfId="46"/>
    <cellStyle name="Percent 2" xfId="47"/>
  </cellStyles>
  <dxfs count="0"/>
  <tableStyles count="0" defaultTableStyle="TableStyleMedium2" defaultPivotStyle="PivotStyleLight16"/>
  <colors>
    <mruColors>
      <color rgb="FFFFFF66"/>
      <color rgb="FFFFCC66"/>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explosion val="25"/>
          <c:dLbls>
            <c:txPr>
              <a:bodyPr/>
              <a:lstStyle/>
              <a:p>
                <a:pPr>
                  <a:defRPr sz="20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1"/>
          </c:dLbls>
          <c:cat>
            <c:strRef>
              <c:f>'Land &amp; Stocking'!$I$25:$I$26</c:f>
              <c:strCache>
                <c:ptCount val="2"/>
                <c:pt idx="0">
                  <c:v>Cattle</c:v>
                </c:pt>
                <c:pt idx="1">
                  <c:v>Sheep</c:v>
                </c:pt>
              </c:strCache>
            </c:strRef>
          </c:cat>
          <c:val>
            <c:numRef>
              <c:f>'Land &amp; Stocking'!$J$25:$J$26</c:f>
              <c:numCache>
                <c:formatCode>0%</c:formatCode>
                <c:ptCount val="2"/>
                <c:pt idx="0">
                  <c:v>0</c:v>
                </c:pt>
                <c:pt idx="1">
                  <c:v>0</c:v>
                </c:pt>
              </c:numCache>
            </c:numRef>
          </c:val>
        </c:ser>
        <c:dLbls>
          <c:showLegendKey val="0"/>
          <c:showVal val="0"/>
          <c:showCatName val="0"/>
          <c:showSerName val="0"/>
          <c:showPercent val="0"/>
          <c:showBubbleSize val="0"/>
          <c:showLeaderLines val="1"/>
        </c:dLbls>
      </c:pie3DChart>
    </c:plotArea>
    <c:legend>
      <c:legendPos val="b"/>
      <c:layout/>
      <c:overlay val="0"/>
      <c:txPr>
        <a:bodyPr/>
        <a:lstStyle/>
        <a:p>
          <a:pPr>
            <a:defRPr sz="2000">
              <a:latin typeface="Arial" panose="020B0604020202020204" pitchFamily="34" charset="0"/>
              <a:cs typeface="Arial" panose="020B0604020202020204" pitchFamily="34" charset="0"/>
            </a:defRPr>
          </a:pPr>
          <a:endParaRPr lang="en-US"/>
        </a:p>
      </c:txPr>
    </c:legend>
    <c:plotVisOnly val="1"/>
    <c:dispBlanksAs val="gap"/>
    <c:showDLblsOverMax val="0"/>
  </c:chart>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Radio" firstButton="1" fmlaLink="$C$13"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361950</xdr:colOff>
      <xdr:row>1</xdr:row>
      <xdr:rowOff>19049</xdr:rowOff>
    </xdr:from>
    <xdr:to>
      <xdr:col>20</xdr:col>
      <xdr:colOff>152400</xdr:colOff>
      <xdr:row>48</xdr:row>
      <xdr:rowOff>47625</xdr:rowOff>
    </xdr:to>
    <xdr:sp macro="" textlink="">
      <xdr:nvSpPr>
        <xdr:cNvPr id="2" name="TextBox 1"/>
        <xdr:cNvSpPr txBox="1"/>
      </xdr:nvSpPr>
      <xdr:spPr>
        <a:xfrm>
          <a:off x="361950" y="209549"/>
          <a:ext cx="11982450" cy="8982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u="sng">
              <a:solidFill>
                <a:sysClr val="windowText" lastClr="000000"/>
              </a:solidFill>
            </a:rPr>
            <a:t>Calculating Kgs per hectare  produced from your farm</a:t>
          </a:r>
        </a:p>
        <a:p>
          <a:pPr algn="ctr"/>
          <a:endParaRPr lang="en-GB" sz="1200" b="1" u="sng">
            <a:solidFill>
              <a:sysClr val="windowText" lastClr="000000"/>
            </a:solidFill>
          </a:endParaRPr>
        </a:p>
        <a:p>
          <a:pPr algn="l"/>
          <a:r>
            <a:rPr lang="en-GB" sz="1200" b="1" u="none">
              <a:solidFill>
                <a:sysClr val="windowText" lastClr="000000"/>
              </a:solidFill>
            </a:rPr>
            <a:t>This spreadsheet will help you calculate the Kgs per hectare of liveweight you produce from your farm.  </a:t>
          </a:r>
        </a:p>
        <a:p>
          <a:pPr algn="l"/>
          <a:endParaRPr lang="en-GB" sz="1200" b="1" u="none">
            <a:solidFill>
              <a:sysClr val="windowText" lastClr="000000"/>
            </a:solidFill>
          </a:endParaRPr>
        </a:p>
        <a:p>
          <a:pPr algn="l"/>
          <a:r>
            <a:rPr lang="en-GB" sz="1200" b="1" u="none" baseline="0">
              <a:solidFill>
                <a:sysClr val="windowText" lastClr="000000"/>
              </a:solidFill>
            </a:rPr>
            <a:t>I suggest that you save a blank master version to your computer.  Once you start using the spreadsheet, then save it as the year you're working to (e.g. 2013/14) so that you always have a blank version, and can easily find the relevant years you've completed as this project progresses. </a:t>
          </a:r>
        </a:p>
        <a:p>
          <a:pPr algn="l"/>
          <a:endParaRPr lang="en-GB" sz="1200" b="1" u="none">
            <a:solidFill>
              <a:sysClr val="windowText" lastClr="000000"/>
            </a:solidFill>
          </a:endParaRPr>
        </a:p>
        <a:p>
          <a:pPr algn="l"/>
          <a:r>
            <a:rPr lang="en-GB" sz="1200" b="1" u="none">
              <a:solidFill>
                <a:sysClr val="windowText" lastClr="000000"/>
              </a:solidFill>
            </a:rPr>
            <a:t>As a starter,</a:t>
          </a:r>
          <a:r>
            <a:rPr lang="en-GB" sz="1200" b="1" u="none" baseline="0">
              <a:solidFill>
                <a:sysClr val="windowText" lastClr="000000"/>
              </a:solidFill>
            </a:rPr>
            <a:t> you can get a rough ball-park figure from working out how many Kgs you have sold within a year, and dividing this figure by the number of hectares the stock have grazed, or you have made forage from. </a:t>
          </a:r>
        </a:p>
        <a:p>
          <a:pPr algn="l"/>
          <a:endParaRPr lang="en-GB" sz="1200" b="1" u="none" baseline="0">
            <a:solidFill>
              <a:sysClr val="windowText" lastClr="000000"/>
            </a:solidFill>
          </a:endParaRPr>
        </a:p>
        <a:p>
          <a:pPr algn="l"/>
          <a:r>
            <a:rPr lang="en-GB" sz="1200" b="1" u="none" baseline="0">
              <a:solidFill>
                <a:sysClr val="windowText" lastClr="000000"/>
              </a:solidFill>
            </a:rPr>
            <a:t>To do this rough calculation you will need to do the following;</a:t>
          </a:r>
        </a:p>
        <a:p>
          <a:pPr algn="l"/>
          <a:r>
            <a:rPr lang="en-GB" sz="1200" b="1" u="none" baseline="0">
              <a:solidFill>
                <a:sysClr val="windowText" lastClr="000000"/>
              </a:solidFill>
            </a:rPr>
            <a:t>1. Decide on the start and end date of your  year.  This could be your financial year, your lambing start date, the calendar year etc.  As the groups progress we will look at other costs of production, for example Vet &amp; Med costs.  From this point of view it may be easier to use your financial year, where you can lift annual costs straight off the your tax accounts.  You decide what date to use.  ENTER THIS DATE INTO THE YELLOW CELLS IN SHEET No.2 'Results Sheet'.</a:t>
          </a:r>
        </a:p>
        <a:p>
          <a:pPr algn="l"/>
          <a:r>
            <a:rPr lang="en-GB" sz="1200" b="1" u="none" baseline="0">
              <a:solidFill>
                <a:sysClr val="windowText" lastClr="000000"/>
              </a:solidFill>
            </a:rPr>
            <a:t>2. Work out the Kgs of liveweight you have sold for the start and end date you have decided.  You will need the number and types of stock sold (e.g. 10 month stores or cast cows) plus their average liveweight;  You can estimate their average liveweight, for example if you sold 550 lambs at an average of 39Kgs, then ENTER THESE TWO FIGURES (number and average weight) INTO THE YELLOW CELLS of the small 'Stock Sold' table in SHEET No.4 'Livestock Sales Summary' AND REPEAT FOR ANY OTHER CATEGORY OF LIVESTOCK SOLD OFF THE UNIT.  ENTER DATA INTO THE YELLOW CELLS ONLY.  If you are working with deadweights you will need to multiply the sheep deadweight by 2.08 and cattle deadweight by 1.85 to get back to liveweights.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ysClr val="windowText" lastClr="000000"/>
              </a:solidFill>
              <a:effectLst/>
              <a:uLnTx/>
              <a:uFillTx/>
              <a:latin typeface="+mn-lt"/>
              <a:ea typeface="+mn-ea"/>
              <a:cs typeface="+mn-cs"/>
            </a:rPr>
            <a:t>3. </a:t>
          </a:r>
          <a:r>
            <a:rPr kumimoji="0" lang="en-GB" sz="1200" b="1" i="0" u="none" strike="noStrike" kern="0" cap="all" spc="0" normalizeH="0" baseline="0" noProof="0">
              <a:ln>
                <a:noFill/>
              </a:ln>
              <a:solidFill>
                <a:sysClr val="windowText" lastClr="000000"/>
              </a:solidFill>
              <a:effectLst/>
              <a:uLnTx/>
              <a:uFillTx/>
              <a:latin typeface="+mn-lt"/>
              <a:ea typeface="+mn-ea"/>
              <a:cs typeface="+mn-cs"/>
            </a:rPr>
            <a:t>Enter the numbers of hectares </a:t>
          </a:r>
          <a:r>
            <a:rPr kumimoji="0" lang="en-GB" sz="1200" b="1" i="0" u="none" strike="noStrike" kern="0" cap="none" spc="0" normalizeH="0" baseline="0" noProof="0">
              <a:ln>
                <a:noFill/>
              </a:ln>
              <a:solidFill>
                <a:sysClr val="windowText" lastClr="000000"/>
              </a:solidFill>
              <a:effectLst/>
              <a:uLnTx/>
              <a:uFillTx/>
              <a:latin typeface="+mn-lt"/>
              <a:ea typeface="+mn-ea"/>
              <a:cs typeface="+mn-cs"/>
            </a:rPr>
            <a:t>you have, include all grassland fields both grazed and cut for forage, INTO SHEET No.6 'Area Grassland'.  Include any 364 day or longer lets in the first table; the second table allows for seasonal lets or winterings.  </a:t>
          </a:r>
          <a:r>
            <a:rPr kumimoji="0" lang="en-GB" sz="1200" b="1" i="0" u="none" strike="noStrike" kern="0" cap="all" spc="0" normalizeH="0" baseline="0" noProof="0">
              <a:ln>
                <a:noFill/>
              </a:ln>
              <a:solidFill>
                <a:sysClr val="windowText" lastClr="000000"/>
              </a:solidFill>
              <a:effectLst/>
              <a:uLnTx/>
              <a:uFillTx/>
              <a:latin typeface="+mn-lt"/>
              <a:ea typeface="+mn-ea"/>
              <a:cs typeface="+mn-cs"/>
            </a:rPr>
            <a:t>Only enter details into the yellow cells.</a:t>
          </a:r>
        </a:p>
        <a:p>
          <a:pPr algn="l"/>
          <a:r>
            <a:rPr lang="en-GB" sz="1200" b="1" u="none" baseline="0">
              <a:solidFill>
                <a:srgbClr val="FF0000"/>
              </a:solidFill>
            </a:rPr>
            <a:t>4. Now click on SHEET No.2 'Results Sheet' and your Kgs/hectare will be shown in the first table.</a:t>
          </a:r>
        </a:p>
        <a:p>
          <a:pPr algn="l"/>
          <a:r>
            <a:rPr lang="en-GB" sz="1200" b="1" u="none" baseline="0">
              <a:solidFill>
                <a:sysClr val="windowText" lastClr="000000"/>
              </a:solidFill>
            </a:rPr>
            <a:t>5. If you want to be a bit more accurate, and have actual weights for each group or batch of stock sold, you can enter the relevant details into the Summary Tables in SHEET No.4 'Livestock Sales Summary'.  ONLY ENTER DETAILS INTO THE ORANGE CELLS.  The deadweight to liveweight calculation will be done automatically, so just enter either live or deadweight. There's a separate table for sheep and cattle.</a:t>
          </a:r>
        </a:p>
        <a:p>
          <a:pPr algn="l"/>
          <a:endParaRPr lang="en-GB" sz="1200" b="1" u="none" baseline="0">
            <a:solidFill>
              <a:srgbClr val="FF0000"/>
            </a:solidFill>
          </a:endParaRPr>
        </a:p>
        <a:p>
          <a:pPr algn="l"/>
          <a:r>
            <a:rPr lang="en-GB" sz="1200" b="1" u="none" baseline="0">
              <a:solidFill>
                <a:sysClr val="windowText" lastClr="000000"/>
              </a:solidFill>
            </a:rPr>
            <a:t>It will be useful to compare purchased feed and fertiliser costs within the groups.  We can do this from the Tax Accounts;</a:t>
          </a:r>
        </a:p>
        <a:p>
          <a:pPr algn="l"/>
          <a:r>
            <a:rPr lang="en-GB" sz="1200" b="1" u="none" baseline="0">
              <a:solidFill>
                <a:sysClr val="windowText" lastClr="000000"/>
              </a:solidFill>
            </a:rPr>
            <a:t>1. Pull out your tax accounts for the years you've chosen.  </a:t>
          </a:r>
        </a:p>
        <a:p>
          <a:pPr algn="l"/>
          <a:r>
            <a:rPr lang="en-GB" sz="1200" b="1" u="none" baseline="0">
              <a:solidFill>
                <a:sysClr val="windowText" lastClr="000000"/>
              </a:solidFill>
            </a:rPr>
            <a:t>2. Enter your total Purchased feed and Fertiliser costs into THE YELLOW CELLS IN the Table in SHEET No.9 'Other Costs from Tax Accounts'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srgbClr val="FF0000"/>
              </a:solidFill>
              <a:effectLst/>
              <a:uLnTx/>
              <a:uFillTx/>
              <a:latin typeface="+mn-lt"/>
              <a:ea typeface="+mn-ea"/>
              <a:cs typeface="+mn-cs"/>
            </a:rPr>
            <a:t>3. Now click on SHEET No.2 'Results Sheet' and your purchased feed and fertiliser costs will be shown in the second table.</a:t>
          </a:r>
        </a:p>
        <a:p>
          <a:pPr algn="l"/>
          <a:endParaRPr lang="en-GB" sz="1200" b="1" u="none" baseline="0">
            <a:solidFill>
              <a:sysClr val="windowText" lastClr="000000"/>
            </a:solidFill>
          </a:endParaRPr>
        </a:p>
        <a:p>
          <a:pPr algn="l"/>
          <a:r>
            <a:rPr lang="en-GB" sz="1200" b="1" u="sng" baseline="0">
              <a:solidFill>
                <a:sysClr val="windowText" lastClr="000000"/>
              </a:solidFill>
            </a:rPr>
            <a:t>Feel like doing a little bit more?</a:t>
          </a:r>
        </a:p>
        <a:p>
          <a:pPr algn="l"/>
          <a:r>
            <a:rPr lang="en-GB" sz="1200" b="1" u="none" baseline="0">
              <a:solidFill>
                <a:sysClr val="windowText" lastClr="000000"/>
              </a:solidFill>
            </a:rPr>
            <a:t>Obviously just dealing with Kgs of livestock sold doesn't take account of growing breeding stock kept on the farm, or changes in livestock numbers from year to year.  To be more accurate, we can do an opening and closing 'valuation' of the stock present at the start and end dates.  We also need to account for purchased stock.  </a:t>
          </a:r>
        </a:p>
        <a:p>
          <a:pPr algn="l"/>
          <a:r>
            <a:rPr lang="en-GB" sz="1200" b="1" u="none" baseline="0">
              <a:solidFill>
                <a:sysClr val="windowText" lastClr="000000"/>
              </a:solidFill>
            </a:rPr>
            <a:t>1. You will need your purchased stock invoices, plus details of the numbers of stock present at start and end dates.  Your herd or flock record may be the best place to get this information.  If you don't have actual liveweight figures, then use your best estimate. In SHEET No.5 'Livestock Purchased Summary' enter the numbers and average liveweights of all purchased stock for the period chosen.  ONLY ENTER DETAILS INTO THE ORANGE CELLS.</a:t>
          </a:r>
        </a:p>
        <a:p>
          <a:pPr algn="l"/>
          <a:r>
            <a:rPr lang="en-GB" sz="1200" b="1" u="none" baseline="0">
              <a:solidFill>
                <a:sysClr val="windowText" lastClr="000000"/>
              </a:solidFill>
            </a:rPr>
            <a:t>2. In SHEET No.3 'Stock Reconciliation' enter the numbers and average liveweights of the stock you have at the start and end dates you have chosen in the 'opening stock' and 'closing stock' tables.  ONLY ENTER DETAILS INTO THE ORANGE CELLS </a:t>
          </a:r>
        </a:p>
        <a:p>
          <a:pPr algn="l"/>
          <a:endParaRPr lang="en-GB" sz="1200" b="1" u="none" baseline="0">
            <a:solidFill>
              <a:sysClr val="windowText" lastClr="000000"/>
            </a:solidFill>
          </a:endParaRPr>
        </a:p>
        <a:p>
          <a:pPr algn="l"/>
          <a:r>
            <a:rPr lang="en-GB" sz="1200" b="1" u="none" baseline="0">
              <a:solidFill>
                <a:sysClr val="windowText" lastClr="000000"/>
              </a:solidFill>
            </a:rPr>
            <a:t>If you have any issues or queries with the spreadsheet, please contact me on;</a:t>
          </a:r>
        </a:p>
        <a:p>
          <a:pPr algn="l"/>
          <a:r>
            <a:rPr lang="en-GB" sz="1200" b="1" u="none" baseline="0">
              <a:solidFill>
                <a:sysClr val="windowText" lastClr="000000"/>
              </a:solidFill>
            </a:rPr>
            <a:t>egrant@qmscotland.co.uk or 07843 281129.</a:t>
          </a:r>
        </a:p>
        <a:p>
          <a:pPr algn="l"/>
          <a:r>
            <a:rPr lang="en-GB" sz="1200" b="1" u="none" baseline="0">
              <a:solidFill>
                <a:sysClr val="windowText" lastClr="000000"/>
              </a:solidFill>
            </a:rPr>
            <a:t>Emily Grant,</a:t>
          </a:r>
        </a:p>
        <a:p>
          <a:pPr algn="l"/>
          <a:r>
            <a:rPr lang="en-GB" sz="1200" b="1" u="none" baseline="0">
              <a:solidFill>
                <a:sysClr val="windowText" lastClr="000000"/>
              </a:solidFill>
            </a:rPr>
            <a:t>Grassland Co-ordinator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602797</xdr:colOff>
      <xdr:row>0</xdr:row>
      <xdr:rowOff>288801</xdr:rowOff>
    </xdr:from>
    <xdr:to>
      <xdr:col>13</xdr:col>
      <xdr:colOff>538843</xdr:colOff>
      <xdr:row>4</xdr:row>
      <xdr:rowOff>196643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5883" y="288801"/>
          <a:ext cx="1764846" cy="7678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13</xdr:row>
          <xdr:rowOff>9525</xdr:rowOff>
        </xdr:from>
        <xdr:to>
          <xdr:col>2</xdr:col>
          <xdr:colOff>438150</xdr:colOff>
          <xdr:row>13</xdr:row>
          <xdr:rowOff>190500</xdr:rowOff>
        </xdr:to>
        <xdr:sp macro="" textlink="">
          <xdr:nvSpPr>
            <xdr:cNvPr id="17409" name="Option Button 1" hidden="1">
              <a:extLst>
                <a:ext uri="{63B3BB69-23CF-44E3-9099-C40C66FF867C}">
                  <a14:compatExt spid="_x0000_s17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14</xdr:row>
          <xdr:rowOff>9525</xdr:rowOff>
        </xdr:from>
        <xdr:to>
          <xdr:col>2</xdr:col>
          <xdr:colOff>438150</xdr:colOff>
          <xdr:row>14</xdr:row>
          <xdr:rowOff>190500</xdr:rowOff>
        </xdr:to>
        <xdr:sp macro="" textlink="">
          <xdr:nvSpPr>
            <xdr:cNvPr id="17410" name="Option Button 2" hidden="1">
              <a:extLst>
                <a:ext uri="{63B3BB69-23CF-44E3-9099-C40C66FF867C}">
                  <a14:compatExt spid="_x0000_s17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15</xdr:row>
          <xdr:rowOff>9525</xdr:rowOff>
        </xdr:from>
        <xdr:to>
          <xdr:col>2</xdr:col>
          <xdr:colOff>438150</xdr:colOff>
          <xdr:row>15</xdr:row>
          <xdr:rowOff>190500</xdr:rowOff>
        </xdr:to>
        <xdr:sp macro="" textlink="">
          <xdr:nvSpPr>
            <xdr:cNvPr id="17411" name="Option Button 3" hidden="1">
              <a:extLst>
                <a:ext uri="{63B3BB69-23CF-44E3-9099-C40C66FF867C}">
                  <a14:compatExt spid="_x0000_s17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16</xdr:row>
          <xdr:rowOff>19050</xdr:rowOff>
        </xdr:from>
        <xdr:to>
          <xdr:col>2</xdr:col>
          <xdr:colOff>438150</xdr:colOff>
          <xdr:row>16</xdr:row>
          <xdr:rowOff>190500</xdr:rowOff>
        </xdr:to>
        <xdr:sp macro="" textlink="">
          <xdr:nvSpPr>
            <xdr:cNvPr id="17412" name="Option Button 4" hidden="1">
              <a:extLst>
                <a:ext uri="{63B3BB69-23CF-44E3-9099-C40C66FF867C}">
                  <a14:compatExt spid="_x0000_s17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28575</xdr:rowOff>
        </xdr:from>
        <xdr:to>
          <xdr:col>1</xdr:col>
          <xdr:colOff>866775</xdr:colOff>
          <xdr:row>18</xdr:row>
          <xdr:rowOff>85725</xdr:rowOff>
        </xdr:to>
        <xdr:sp macro="" textlink="">
          <xdr:nvSpPr>
            <xdr:cNvPr id="17413" name="Group Box 5" hidden="1">
              <a:extLst>
                <a:ext uri="{63B3BB69-23CF-44E3-9099-C40C66FF867C}">
                  <a14:compatExt spid="_x0000_s17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17</xdr:row>
          <xdr:rowOff>19050</xdr:rowOff>
        </xdr:from>
        <xdr:to>
          <xdr:col>2</xdr:col>
          <xdr:colOff>438150</xdr:colOff>
          <xdr:row>17</xdr:row>
          <xdr:rowOff>190500</xdr:rowOff>
        </xdr:to>
        <xdr:sp macro="" textlink="">
          <xdr:nvSpPr>
            <xdr:cNvPr id="17414" name="Option Button 6" hidden="1">
              <a:extLst>
                <a:ext uri="{63B3BB69-23CF-44E3-9099-C40C66FF867C}">
                  <a14:compatExt spid="_x0000_s1741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402166</xdr:colOff>
      <xdr:row>10</xdr:row>
      <xdr:rowOff>79278</xdr:rowOff>
    </xdr:from>
    <xdr:to>
      <xdr:col>15</xdr:col>
      <xdr:colOff>366567</xdr:colOff>
      <xdr:row>21</xdr:row>
      <xdr:rowOff>200697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0.1572</cdr:x>
      <cdr:y>0.70482</cdr:y>
    </cdr:from>
    <cdr:to>
      <cdr:x>0.95833</cdr:x>
      <cdr:y>0.83302</cdr:y>
    </cdr:to>
    <cdr:sp macro="" textlink="">
      <cdr:nvSpPr>
        <cdr:cNvPr id="2" name="TextBox 1"/>
        <cdr:cNvSpPr txBox="1"/>
      </cdr:nvSpPr>
      <cdr:spPr>
        <a:xfrm xmlns:a="http://schemas.openxmlformats.org/drawingml/2006/main">
          <a:off x="718706" y="1951760"/>
          <a:ext cx="3662794" cy="3550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2000">
              <a:latin typeface="Arial" panose="020B0604020202020204" pitchFamily="34" charset="0"/>
              <a:cs typeface="Arial" panose="020B0604020202020204" pitchFamily="34" charset="0"/>
            </a:rPr>
            <a:t>Balance</a:t>
          </a:r>
          <a:r>
            <a:rPr lang="en-GB" sz="2000" baseline="0">
              <a:latin typeface="Arial" panose="020B0604020202020204" pitchFamily="34" charset="0"/>
              <a:cs typeface="Arial" panose="020B0604020202020204" pitchFamily="34" charset="0"/>
            </a:rPr>
            <a:t> of cattle to sheep</a:t>
          </a:r>
          <a:endParaRPr lang="en-GB" sz="2000">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509058</xdr:colOff>
      <xdr:row>3</xdr:row>
      <xdr:rowOff>74085</xdr:rowOff>
    </xdr:from>
    <xdr:to>
      <xdr:col>9</xdr:col>
      <xdr:colOff>1344082</xdr:colOff>
      <xdr:row>13</xdr:row>
      <xdr:rowOff>127002</xdr:rowOff>
    </xdr:to>
    <xdr:sp macro="" textlink="">
      <xdr:nvSpPr>
        <xdr:cNvPr id="2" name="TextBox 1"/>
        <xdr:cNvSpPr txBox="1"/>
      </xdr:nvSpPr>
      <xdr:spPr>
        <a:xfrm>
          <a:off x="6298141" y="677335"/>
          <a:ext cx="3427941" cy="196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For the quick 'rough'</a:t>
          </a:r>
          <a:r>
            <a:rPr lang="en-GB" sz="1200" b="1" baseline="0"/>
            <a:t> calculation of Kgs per hectare, estimate or average all your sale weights.  </a:t>
          </a:r>
          <a:r>
            <a:rPr lang="en-GB" sz="1200" b="1" u="sng" baseline="0"/>
            <a:t>ONLY</a:t>
          </a:r>
          <a:r>
            <a:rPr lang="en-GB" sz="1200" b="1" baseline="0"/>
            <a:t> complete the yellow cells in the tables on the left.</a:t>
          </a:r>
        </a:p>
        <a:p>
          <a:endParaRPr lang="en-GB" sz="1200" b="1" baseline="0"/>
        </a:p>
        <a:p>
          <a:r>
            <a:rPr lang="en-GB" sz="1200" b="1" baseline="0"/>
            <a:t>For a more accurate calculation, </a:t>
          </a:r>
          <a:r>
            <a:rPr lang="en-GB" sz="1200" b="1" u="sng" baseline="0"/>
            <a:t>ONLY</a:t>
          </a:r>
          <a:r>
            <a:rPr lang="en-GB" sz="1200" b="1" baseline="0"/>
            <a:t> complete the orange cells in the tables below.  </a:t>
          </a:r>
        </a:p>
        <a:p>
          <a:r>
            <a:rPr lang="en-GB" sz="1200" b="1" baseline="0"/>
            <a:t>Start a new row for each different category of stock, eg cast cows in one row, bulls in a new row.</a:t>
          </a:r>
        </a:p>
        <a:p>
          <a:endParaRPr lang="en-GB" sz="1100" b="1"/>
        </a:p>
      </xdr:txBody>
    </xdr:sp>
    <xdr:clientData/>
  </xdr:twoCellAnchor>
  <xdr:twoCellAnchor>
    <xdr:from>
      <xdr:col>6</xdr:col>
      <xdr:colOff>232833</xdr:colOff>
      <xdr:row>6</xdr:row>
      <xdr:rowOff>10584</xdr:rowOff>
    </xdr:from>
    <xdr:to>
      <xdr:col>7</xdr:col>
      <xdr:colOff>497417</xdr:colOff>
      <xdr:row>8</xdr:row>
      <xdr:rowOff>148167</xdr:rowOff>
    </xdr:to>
    <xdr:cxnSp macro="">
      <xdr:nvCxnSpPr>
        <xdr:cNvPr id="4" name="Straight Arrow Connector 3"/>
        <xdr:cNvCxnSpPr/>
      </xdr:nvCxnSpPr>
      <xdr:spPr>
        <a:xfrm flipH="1">
          <a:off x="5408083" y="1195917"/>
          <a:ext cx="878417" cy="518583"/>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31750</xdr:colOff>
      <xdr:row>12</xdr:row>
      <xdr:rowOff>84667</xdr:rowOff>
    </xdr:from>
    <xdr:to>
      <xdr:col>8</xdr:col>
      <xdr:colOff>328084</xdr:colOff>
      <xdr:row>15</xdr:row>
      <xdr:rowOff>137584</xdr:rowOff>
    </xdr:to>
    <xdr:cxnSp macro="">
      <xdr:nvCxnSpPr>
        <xdr:cNvPr id="6" name="Straight Arrow Connector 5"/>
        <xdr:cNvCxnSpPr/>
      </xdr:nvCxnSpPr>
      <xdr:spPr>
        <a:xfrm flipH="1">
          <a:off x="5820833" y="2413000"/>
          <a:ext cx="1555751" cy="624417"/>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client\Work\RBU%20work\Projects%201415\2.%20FSS%20project\AyrMarsha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Data"/>
      <sheetName val="FixedCostCalculator"/>
      <sheetName val="sH12"/>
      <sheetName val="Spcow12"/>
      <sheetName val="Grass12"/>
      <sheetName val="EnterpriseTemplates"/>
      <sheetName val="SucklerTemplate"/>
      <sheetName val="EweTemplate"/>
      <sheetName val="IntensiveBeefTemplate"/>
      <sheetName val="ExtensiveBeefTemplate"/>
      <sheetName val="LambTemplate"/>
      <sheetName val="O. References"/>
      <sheetName val="Listings"/>
      <sheetName val="myListBox"/>
      <sheetName val="Sh11"/>
      <sheetName val="SpCow"/>
      <sheetName val="Grass11"/>
      <sheetName val="Sheep10"/>
      <sheetName val="Cows10"/>
      <sheetName val="Grass10"/>
    </sheetNames>
    <sheetDataSet>
      <sheetData sheetId="0"/>
      <sheetData sheetId="1">
        <row r="7">
          <cell r="A7" t="str">
            <v>JournalTop</v>
          </cell>
          <cell r="D7" t="str">
            <v>Description</v>
          </cell>
          <cell r="E7" t="str">
            <v>Date</v>
          </cell>
          <cell r="F7" t="str">
            <v>Transaction</v>
          </cell>
          <cell r="G7" t="str">
            <v>Number</v>
          </cell>
          <cell r="H7" t="str">
            <v>Value</v>
          </cell>
          <cell r="I7" t="str">
            <v>Weight</v>
          </cell>
          <cell r="J7" t="str">
            <v>Enterprise</v>
          </cell>
          <cell r="K7" t="str">
            <v>Class</v>
          </cell>
          <cell r="L7" t="str">
            <v>SubClass</v>
          </cell>
          <cell r="M7" t="str">
            <v>Promar</v>
          </cell>
          <cell r="N7" t="str">
            <v>Deadweight</v>
          </cell>
          <cell r="O7" t="str">
            <v>£</v>
          </cell>
          <cell r="P7" t="str">
            <v>DefaultWt</v>
          </cell>
          <cell r="Q7" t="str">
            <v>Fat</v>
          </cell>
          <cell r="R7" t="str">
            <v>Conf</v>
          </cell>
          <cell r="S7" t="str">
            <v>PerKg</v>
          </cell>
          <cell r="T7" t="str">
            <v>jdays</v>
          </cell>
          <cell r="U7" t="str">
            <v>TotalDead</v>
          </cell>
          <cell r="V7" t="str">
            <v>SumConf</v>
          </cell>
          <cell r="W7" t="str">
            <v>SumFat</v>
          </cell>
          <cell r="X7" t="str">
            <v>Last</v>
          </cell>
          <cell r="Y7" t="str">
            <v>Edge</v>
          </cell>
          <cell r="Z7">
            <v>40269</v>
          </cell>
          <cell r="AC7">
            <v>40299</v>
          </cell>
          <cell r="AF7">
            <v>40330</v>
          </cell>
          <cell r="AI7">
            <v>40360</v>
          </cell>
          <cell r="AL7">
            <v>40391</v>
          </cell>
          <cell r="AO7">
            <v>40422</v>
          </cell>
          <cell r="AR7">
            <v>40452</v>
          </cell>
          <cell r="AU7">
            <v>40483</v>
          </cell>
        </row>
        <row r="8">
          <cell r="D8" t="str">
            <v>Client**</v>
          </cell>
          <cell r="E8" t="str">
            <v>Marshall</v>
          </cell>
          <cell r="I8" t="str">
            <v>Farmed area</v>
          </cell>
          <cell r="K8" t="str">
            <v>Ha</v>
          </cell>
          <cell r="L8" t="str">
            <v>Farm Type</v>
          </cell>
          <cell r="M8" t="str">
            <v>Y</v>
          </cell>
          <cell r="N8" t="str">
            <v>Soil type</v>
          </cell>
          <cell r="O8" t="str">
            <v>Y</v>
          </cell>
          <cell r="P8" t="str">
            <v>SlurrySystem</v>
          </cell>
          <cell r="Q8" t="str">
            <v>Y</v>
          </cell>
          <cell r="R8" t="str">
            <v>Forestry area (if available)</v>
          </cell>
        </row>
        <row r="9">
          <cell r="D9" t="str">
            <v>Address</v>
          </cell>
          <cell r="E9" t="str">
            <v>Mains of Tig</v>
          </cell>
          <cell r="I9" t="str">
            <v>Leys</v>
          </cell>
          <cell r="K9">
            <v>33.6</v>
          </cell>
          <cell r="L9" t="str">
            <v>Mainly Suckler</v>
          </cell>
          <cell r="N9" t="str">
            <v>Clay</v>
          </cell>
          <cell r="P9" t="str">
            <v>Splashplate</v>
          </cell>
          <cell r="Q9" t="str">
            <v>Y</v>
          </cell>
          <cell r="S9" t="str">
            <v xml:space="preserve">Please enter the hectares of forestry in the each of the following categories: </v>
          </cell>
        </row>
        <row r="10">
          <cell r="I10" t="str">
            <v>Permanent</v>
          </cell>
          <cell r="K10">
            <v>88.4</v>
          </cell>
          <cell r="L10" t="str">
            <v>Beef Finishing</v>
          </cell>
          <cell r="N10" t="str">
            <v>Sand</v>
          </cell>
          <cell r="O10" t="str">
            <v>Y</v>
          </cell>
          <cell r="P10" t="str">
            <v>Dribble bar</v>
          </cell>
          <cell r="Q10" t="str">
            <v>Y</v>
          </cell>
          <cell r="T10" t="str">
            <v>&lt; 20 years</v>
          </cell>
          <cell r="U10" t="str">
            <v>&gt; 20 years</v>
          </cell>
        </row>
        <row r="11">
          <cell r="D11" t="str">
            <v>County**</v>
          </cell>
          <cell r="E11" t="str">
            <v>Scotland South West</v>
          </cell>
          <cell r="I11" t="str">
            <v>Rough</v>
          </cell>
          <cell r="K11">
            <v>5</v>
          </cell>
          <cell r="L11" t="str">
            <v>Mainly Sheep</v>
          </cell>
          <cell r="N11" t="str">
            <v>Peat</v>
          </cell>
          <cell r="P11" t="str">
            <v>Inject</v>
          </cell>
          <cell r="S11" t="str">
            <v>Broad leaf</v>
          </cell>
          <cell r="T11">
            <v>0</v>
          </cell>
          <cell r="U11">
            <v>0</v>
          </cell>
        </row>
        <row r="12">
          <cell r="D12" t="str">
            <v>Post Code**</v>
          </cell>
          <cell r="E12" t="str">
            <v>KA26</v>
          </cell>
          <cell r="I12" t="str">
            <v>Arable</v>
          </cell>
          <cell r="K12">
            <v>14</v>
          </cell>
          <cell r="L12" t="str">
            <v>Mainly Arable</v>
          </cell>
          <cell r="N12" t="str">
            <v>Other Mineral Soil</v>
          </cell>
          <cell r="S12" t="str">
            <v>Conifer</v>
          </cell>
          <cell r="T12">
            <v>0</v>
          </cell>
          <cell r="U12">
            <v>0</v>
          </cell>
        </row>
        <row r="13">
          <cell r="D13" t="str">
            <v>Telephone</v>
          </cell>
          <cell r="I13" t="str">
            <v>Farmed Area</v>
          </cell>
          <cell r="K13">
            <v>141</v>
          </cell>
          <cell r="L13" t="str">
            <v>Mixed Livestock</v>
          </cell>
          <cell r="M13" t="str">
            <v>Y</v>
          </cell>
          <cell r="S13" t="str">
            <v>Total area (ha):</v>
          </cell>
          <cell r="T13">
            <v>0</v>
          </cell>
          <cell r="U13">
            <v>0</v>
          </cell>
        </row>
        <row r="14">
          <cell r="D14" t="str">
            <v>Latest account Year End</v>
          </cell>
          <cell r="E14">
            <v>40512</v>
          </cell>
          <cell r="L14" t="str">
            <v>LFA Status (Y/N)</v>
          </cell>
          <cell r="M14" t="str">
            <v>Y</v>
          </cell>
          <cell r="N14" t="str">
            <v>Changes to Grass Management?</v>
          </cell>
        </row>
        <row r="15">
          <cell r="D15" t="str">
            <v>LMR**</v>
          </cell>
          <cell r="E15">
            <v>50453</v>
          </cell>
          <cell r="L15" t="str">
            <v>Organic (Y/N)</v>
          </cell>
          <cell r="M15" t="str">
            <v>N</v>
          </cell>
        </row>
        <row r="16">
          <cell r="D16" t="str">
            <v>TopEdge</v>
          </cell>
        </row>
        <row r="17">
          <cell r="A17" t="str">
            <v>EnterpriseCows10</v>
          </cell>
          <cell r="D17" t="str">
            <v>Cows10</v>
          </cell>
          <cell r="E17" t="str">
            <v>Environmental</v>
          </cell>
          <cell r="F17" t="str">
            <v>Y</v>
          </cell>
          <cell r="G17" t="str">
            <v>System</v>
          </cell>
          <cell r="H17" t="str">
            <v>SucklerUplandSpringStore[52]</v>
          </cell>
          <cell r="J17" t="str">
            <v>Cows10</v>
          </cell>
          <cell r="K17" t="str">
            <v>01</v>
          </cell>
          <cell r="L17" t="str">
            <v>Suckler</v>
          </cell>
          <cell r="N17" t="str">
            <v>CombineGroupCode</v>
          </cell>
          <cell r="O17">
            <v>0</v>
          </cell>
        </row>
        <row r="18">
          <cell r="A18" t="str">
            <v>Cows10Female,40118</v>
          </cell>
          <cell r="D18" t="str">
            <v>Year Starts</v>
          </cell>
          <cell r="E18">
            <v>40118</v>
          </cell>
          <cell r="J18" t="str">
            <v>Cows10</v>
          </cell>
          <cell r="L18" t="str">
            <v>Female</v>
          </cell>
        </row>
        <row r="19">
          <cell r="A19" t="str">
            <v>NumberCows10FemaleMated,</v>
          </cell>
          <cell r="D19" t="str">
            <v>Cows to bull</v>
          </cell>
          <cell r="F19" t="str">
            <v>Number</v>
          </cell>
          <cell r="G19">
            <v>120</v>
          </cell>
          <cell r="H19" t="str">
            <v>EBV's? y/n</v>
          </cell>
          <cell r="I19" t="str">
            <v>Y</v>
          </cell>
          <cell r="J19" t="str">
            <v>Cows10</v>
          </cell>
          <cell r="K19" t="str">
            <v>Female</v>
          </cell>
          <cell r="L19" t="str">
            <v>Mated</v>
          </cell>
        </row>
        <row r="20">
          <cell r="A20" t="str">
            <v>BreedOfSireCows10,</v>
          </cell>
          <cell r="D20" t="str">
            <v>Bull</v>
          </cell>
          <cell r="F20" t="str">
            <v>BreedOfSire</v>
          </cell>
          <cell r="G20" t="str">
            <v>CH</v>
          </cell>
          <cell r="H20" t="str">
            <v>Average Cost</v>
          </cell>
          <cell r="I20">
            <v>2500</v>
          </cell>
          <cell r="J20" t="str">
            <v>Cows10</v>
          </cell>
        </row>
        <row r="21">
          <cell r="A21" t="str">
            <v>BreedOfDamCows10,</v>
          </cell>
          <cell r="D21" t="str">
            <v>Cow</v>
          </cell>
          <cell r="F21" t="str">
            <v>BreedOfDam</v>
          </cell>
          <cell r="G21" t="str">
            <v>AA/SH</v>
          </cell>
          <cell r="J21" t="str">
            <v>Cows10</v>
          </cell>
        </row>
        <row r="22">
          <cell r="A22" t="str">
            <v>BarrenCows10FemaleBarren,</v>
          </cell>
          <cell r="F22" t="str">
            <v>Barren</v>
          </cell>
          <cell r="G22">
            <v>9</v>
          </cell>
          <cell r="J22" t="str">
            <v>Cows10</v>
          </cell>
          <cell r="K22" t="str">
            <v>Female</v>
          </cell>
          <cell r="L22" t="str">
            <v>Barren</v>
          </cell>
        </row>
        <row r="23">
          <cell r="A23" t="str">
            <v>Cows10,</v>
          </cell>
          <cell r="D23" t="str">
            <v>Cows</v>
          </cell>
          <cell r="J23" t="str">
            <v>Cows10</v>
          </cell>
        </row>
        <row r="24">
          <cell r="A24" t="str">
            <v>OpenCows10Female750,40118</v>
          </cell>
          <cell r="D24" t="str">
            <v>Females Calved or to calve this year</v>
          </cell>
          <cell r="E24">
            <v>40118</v>
          </cell>
          <cell r="F24" t="str">
            <v>Open</v>
          </cell>
          <cell r="G24">
            <v>105</v>
          </cell>
          <cell r="H24">
            <v>78750</v>
          </cell>
          <cell r="I24">
            <v>68250</v>
          </cell>
          <cell r="J24" t="str">
            <v>Cows10</v>
          </cell>
          <cell r="K24" t="str">
            <v>Female</v>
          </cell>
          <cell r="M24">
            <v>750</v>
          </cell>
          <cell r="N24">
            <v>650</v>
          </cell>
          <cell r="O24" t="str">
            <v>default open value &amp; weight</v>
          </cell>
        </row>
        <row r="25">
          <cell r="A25" t="str">
            <v>TransInCows10FemaleReplacement,0</v>
          </cell>
          <cell r="C25" t="str">
            <v>.</v>
          </cell>
          <cell r="D25" t="str">
            <v>To bull</v>
          </cell>
          <cell r="E25">
            <v>0</v>
          </cell>
          <cell r="F25" t="str">
            <v>TransIn</v>
          </cell>
          <cell r="G25">
            <v>0</v>
          </cell>
          <cell r="H25">
            <v>0</v>
          </cell>
          <cell r="I25">
            <v>0</v>
          </cell>
          <cell r="J25" t="str">
            <v>Cows10</v>
          </cell>
          <cell r="K25" t="str">
            <v>Female</v>
          </cell>
          <cell r="L25" t="str">
            <v>Replacement</v>
          </cell>
          <cell r="M25">
            <v>750</v>
          </cell>
          <cell r="N25">
            <v>500</v>
          </cell>
        </row>
        <row r="26">
          <cell r="A26" t="str">
            <v>PurchaseCows10FemaleBreeding,0</v>
          </cell>
          <cell r="C26" t="str">
            <v>.</v>
          </cell>
          <cell r="E26">
            <v>0</v>
          </cell>
          <cell r="F26" t="str">
            <v>Purchase</v>
          </cell>
          <cell r="G26">
            <v>0</v>
          </cell>
          <cell r="H26">
            <v>0</v>
          </cell>
          <cell r="I26">
            <v>0</v>
          </cell>
          <cell r="J26" t="str">
            <v>Cows10</v>
          </cell>
          <cell r="K26" t="str">
            <v>Female</v>
          </cell>
          <cell r="L26" t="str">
            <v>Breeding</v>
          </cell>
          <cell r="M26">
            <v>750</v>
          </cell>
          <cell r="N26">
            <v>500</v>
          </cell>
        </row>
        <row r="27">
          <cell r="A27" t="str">
            <v>PurchaseCows10FemaleBreeding,40330</v>
          </cell>
          <cell r="C27" t="str">
            <v>.</v>
          </cell>
          <cell r="E27">
            <v>40330</v>
          </cell>
          <cell r="F27" t="str">
            <v>Purchase</v>
          </cell>
          <cell r="G27">
            <v>15</v>
          </cell>
          <cell r="H27">
            <v>13500</v>
          </cell>
          <cell r="I27">
            <v>7500</v>
          </cell>
          <cell r="J27" t="str">
            <v>Cows10</v>
          </cell>
          <cell r="K27" t="str">
            <v>Female</v>
          </cell>
          <cell r="L27" t="str">
            <v>Breeding</v>
          </cell>
          <cell r="M27">
            <v>900</v>
          </cell>
          <cell r="N27">
            <v>500</v>
          </cell>
        </row>
        <row r="28">
          <cell r="A28" t="str">
            <v>DeathCows10FemaleBefore,0</v>
          </cell>
          <cell r="D28" t="str">
            <v>Deaths before calving</v>
          </cell>
          <cell r="E28">
            <v>0</v>
          </cell>
          <cell r="F28" t="str">
            <v>Death</v>
          </cell>
          <cell r="G28">
            <v>0</v>
          </cell>
          <cell r="I28">
            <v>0</v>
          </cell>
          <cell r="J28" t="str">
            <v>Cows10</v>
          </cell>
          <cell r="K28" t="str">
            <v>Female</v>
          </cell>
          <cell r="L28" t="str">
            <v>Before</v>
          </cell>
        </row>
        <row r="29">
          <cell r="A29" t="str">
            <v>DeathCows10FemaleAfter,0</v>
          </cell>
          <cell r="D29" t="str">
            <v>Deaths after calving</v>
          </cell>
          <cell r="E29">
            <v>0</v>
          </cell>
          <cell r="F29" t="str">
            <v>Death</v>
          </cell>
          <cell r="G29">
            <v>0</v>
          </cell>
          <cell r="I29">
            <v>0</v>
          </cell>
          <cell r="J29" t="str">
            <v>Cows10</v>
          </cell>
          <cell r="K29" t="str">
            <v>Female</v>
          </cell>
          <cell r="L29" t="str">
            <v>After</v>
          </cell>
        </row>
        <row r="30">
          <cell r="A30" t="str">
            <v>SaleCows10FemaleDisposal,0</v>
          </cell>
          <cell r="E30">
            <v>0</v>
          </cell>
          <cell r="F30" t="str">
            <v>Sale</v>
          </cell>
          <cell r="G30">
            <v>0</v>
          </cell>
          <cell r="H30">
            <v>0</v>
          </cell>
          <cell r="I30">
            <v>0</v>
          </cell>
          <cell r="J30" t="str">
            <v>Cows10</v>
          </cell>
          <cell r="K30" t="str">
            <v>Female</v>
          </cell>
          <cell r="L30" t="str">
            <v>Disposal</v>
          </cell>
          <cell r="M30">
            <v>600</v>
          </cell>
          <cell r="N30">
            <v>600</v>
          </cell>
        </row>
        <row r="31">
          <cell r="A31" t="str">
            <v>TransOutCows10FemaleDisposal,40330</v>
          </cell>
          <cell r="E31">
            <v>40330</v>
          </cell>
          <cell r="F31" t="str">
            <v>TransOut</v>
          </cell>
          <cell r="G31">
            <v>5</v>
          </cell>
          <cell r="H31">
            <v>3750</v>
          </cell>
          <cell r="I31">
            <v>3000</v>
          </cell>
          <cell r="J31" t="str">
            <v>Cows10</v>
          </cell>
          <cell r="K31" t="str">
            <v>Female</v>
          </cell>
          <cell r="L31" t="str">
            <v>Disposal</v>
          </cell>
          <cell r="M31">
            <v>750</v>
          </cell>
          <cell r="N31">
            <v>600</v>
          </cell>
        </row>
        <row r="32">
          <cell r="A32" t="str">
            <v>SaleCows10FemaleBreeding,40330</v>
          </cell>
          <cell r="E32">
            <v>40330</v>
          </cell>
          <cell r="F32" t="str">
            <v>Sale</v>
          </cell>
          <cell r="G32">
            <v>9</v>
          </cell>
          <cell r="H32">
            <v>5400</v>
          </cell>
          <cell r="I32">
            <v>4500</v>
          </cell>
          <cell r="J32" t="str">
            <v>Cows10</v>
          </cell>
          <cell r="K32" t="str">
            <v>Female</v>
          </cell>
          <cell r="L32" t="str">
            <v>Breeding</v>
          </cell>
          <cell r="M32">
            <v>600</v>
          </cell>
          <cell r="N32">
            <v>500</v>
          </cell>
        </row>
        <row r="33">
          <cell r="A33" t="str">
            <v>TransOutCows10FemaleBreeding,0</v>
          </cell>
          <cell r="E33">
            <v>0</v>
          </cell>
          <cell r="F33" t="str">
            <v>TransOut</v>
          </cell>
          <cell r="G33">
            <v>0</v>
          </cell>
          <cell r="H33">
            <v>0</v>
          </cell>
          <cell r="I33">
            <v>0</v>
          </cell>
          <cell r="J33" t="str">
            <v>Cows10</v>
          </cell>
          <cell r="K33" t="str">
            <v>Female</v>
          </cell>
          <cell r="L33" t="str">
            <v>Breeding</v>
          </cell>
          <cell r="M33">
            <v>600</v>
          </cell>
          <cell r="N33">
            <v>500</v>
          </cell>
        </row>
        <row r="34">
          <cell r="A34" t="str">
            <v>CloseCows10Female750,40695</v>
          </cell>
          <cell r="D34" t="str">
            <v>Females Calved or to calve next year</v>
          </cell>
          <cell r="E34">
            <v>40695</v>
          </cell>
          <cell r="F34" t="str">
            <v>Close</v>
          </cell>
          <cell r="G34">
            <v>106</v>
          </cell>
          <cell r="H34">
            <v>79500</v>
          </cell>
          <cell r="I34">
            <v>68900</v>
          </cell>
          <cell r="J34" t="str">
            <v>Cows10</v>
          </cell>
          <cell r="K34" t="str">
            <v>Female</v>
          </cell>
          <cell r="M34">
            <v>750</v>
          </cell>
          <cell r="N34">
            <v>650</v>
          </cell>
        </row>
        <row r="35">
          <cell r="A35" t="str">
            <v>AverageFemaleNoCows10,</v>
          </cell>
          <cell r="F35" t="str">
            <v>AverageFemaleNo</v>
          </cell>
          <cell r="G35">
            <v>105.63258232235702</v>
          </cell>
          <cell r="J35" t="str">
            <v>Cows10</v>
          </cell>
        </row>
        <row r="36">
          <cell r="A36" t="str">
            <v>Cows10,</v>
          </cell>
          <cell r="D36" t="str">
            <v>StockBulls</v>
          </cell>
          <cell r="J36" t="str">
            <v>Cows10</v>
          </cell>
        </row>
        <row r="37">
          <cell r="A37" t="str">
            <v>OpenCows10Male1500,40118</v>
          </cell>
          <cell r="E37">
            <v>40118</v>
          </cell>
          <cell r="F37" t="str">
            <v>Open</v>
          </cell>
          <cell r="G37">
            <v>6</v>
          </cell>
          <cell r="H37">
            <v>9000</v>
          </cell>
          <cell r="I37">
            <v>4200</v>
          </cell>
          <cell r="J37" t="str">
            <v>Cows10</v>
          </cell>
          <cell r="K37" t="str">
            <v>Male</v>
          </cell>
          <cell r="M37">
            <v>1500</v>
          </cell>
          <cell r="N37">
            <v>700</v>
          </cell>
          <cell r="O37" t="str">
            <v>default open value &amp; weight</v>
          </cell>
        </row>
        <row r="38">
          <cell r="A38" t="str">
            <v>PurchaseCows10MaleReplacement,0</v>
          </cell>
          <cell r="E38">
            <v>0</v>
          </cell>
          <cell r="F38" t="str">
            <v>Purchase</v>
          </cell>
          <cell r="G38">
            <v>0</v>
          </cell>
          <cell r="H38">
            <v>0</v>
          </cell>
          <cell r="I38">
            <v>0</v>
          </cell>
          <cell r="J38" t="str">
            <v>Cows10</v>
          </cell>
          <cell r="K38" t="str">
            <v>Male</v>
          </cell>
          <cell r="L38" t="str">
            <v>Replacement</v>
          </cell>
          <cell r="N38">
            <v>700</v>
          </cell>
        </row>
        <row r="39">
          <cell r="A39" t="str">
            <v>TransInCows10MaleReplacement,0</v>
          </cell>
          <cell r="E39">
            <v>0</v>
          </cell>
          <cell r="F39" t="str">
            <v>TransIn</v>
          </cell>
          <cell r="G39">
            <v>0</v>
          </cell>
          <cell r="H39">
            <v>0</v>
          </cell>
          <cell r="I39">
            <v>0</v>
          </cell>
          <cell r="J39" t="str">
            <v>Cows10</v>
          </cell>
          <cell r="K39" t="str">
            <v>Male</v>
          </cell>
          <cell r="L39" t="str">
            <v>Replacement</v>
          </cell>
          <cell r="N39">
            <v>700</v>
          </cell>
        </row>
        <row r="40">
          <cell r="A40" t="str">
            <v>DeathCows10Male,0</v>
          </cell>
          <cell r="E40">
            <v>0</v>
          </cell>
          <cell r="F40" t="str">
            <v>Death</v>
          </cell>
          <cell r="G40">
            <v>0</v>
          </cell>
          <cell r="I40">
            <v>0</v>
          </cell>
          <cell r="J40" t="str">
            <v>Cows10</v>
          </cell>
          <cell r="K40" t="str">
            <v>Male</v>
          </cell>
          <cell r="N40">
            <v>700</v>
          </cell>
        </row>
        <row r="41">
          <cell r="A41" t="str">
            <v>TransOutCows10MaleBreeding,0</v>
          </cell>
          <cell r="E41">
            <v>0</v>
          </cell>
          <cell r="F41" t="str">
            <v>TransOut</v>
          </cell>
          <cell r="G41">
            <v>0</v>
          </cell>
          <cell r="H41">
            <v>0</v>
          </cell>
          <cell r="I41">
            <v>0</v>
          </cell>
          <cell r="J41" t="str">
            <v>Cows10</v>
          </cell>
          <cell r="K41" t="str">
            <v>Male</v>
          </cell>
          <cell r="L41" t="str">
            <v>Breeding</v>
          </cell>
          <cell r="N41">
            <v>700</v>
          </cell>
        </row>
        <row r="42">
          <cell r="A42" t="str">
            <v>SaleCows10MaleDisposal,0</v>
          </cell>
          <cell r="E42">
            <v>0</v>
          </cell>
          <cell r="F42" t="str">
            <v>Sale</v>
          </cell>
          <cell r="G42">
            <v>0</v>
          </cell>
          <cell r="H42">
            <v>0</v>
          </cell>
          <cell r="I42">
            <v>0</v>
          </cell>
          <cell r="J42" t="str">
            <v>Cows10</v>
          </cell>
          <cell r="K42" t="str">
            <v>Male</v>
          </cell>
          <cell r="L42" t="str">
            <v>Disposal</v>
          </cell>
          <cell r="N42">
            <v>700</v>
          </cell>
        </row>
        <row r="43">
          <cell r="A43" t="str">
            <v>CloseCows10Male1300,40695</v>
          </cell>
          <cell r="D43" t="str">
            <v>Closing Values from default</v>
          </cell>
          <cell r="E43">
            <v>40695</v>
          </cell>
          <cell r="F43" t="str">
            <v>Close</v>
          </cell>
          <cell r="G43">
            <v>6</v>
          </cell>
          <cell r="H43">
            <v>7800</v>
          </cell>
          <cell r="I43">
            <v>4200</v>
          </cell>
          <cell r="J43" t="str">
            <v>Cows10</v>
          </cell>
          <cell r="K43" t="str">
            <v>Male</v>
          </cell>
          <cell r="M43">
            <v>1300</v>
          </cell>
          <cell r="N43">
            <v>700</v>
          </cell>
          <cell r="O43" t="str">
            <v>default close value &amp; weight</v>
          </cell>
        </row>
        <row r="44">
          <cell r="A44" t="str">
            <v>Cows10,</v>
          </cell>
          <cell r="D44" t="str">
            <v>Calves</v>
          </cell>
          <cell r="J44" t="str">
            <v>Cows10</v>
          </cell>
        </row>
        <row r="45">
          <cell r="E45" t="str">
            <v>Progeny open calc</v>
          </cell>
          <cell r="G45" t="str">
            <v>Number</v>
          </cell>
          <cell r="H45" t="str">
            <v>Value</v>
          </cell>
          <cell r="I45" t="str">
            <v>weight</v>
          </cell>
          <cell r="J45" t="str">
            <v>Cows10</v>
          </cell>
        </row>
        <row r="46">
          <cell r="E46" t="str">
            <v>Steer/Bulls</v>
          </cell>
          <cell r="G46">
            <v>0</v>
          </cell>
          <cell r="H46">
            <v>0</v>
          </cell>
          <cell r="I46">
            <v>0</v>
          </cell>
          <cell r="J46" t="str">
            <v>Cows10</v>
          </cell>
        </row>
        <row r="47">
          <cell r="E47" t="str">
            <v>Heifers</v>
          </cell>
          <cell r="G47">
            <v>0</v>
          </cell>
          <cell r="H47">
            <v>0</v>
          </cell>
          <cell r="I47">
            <v>0</v>
          </cell>
          <cell r="J47" t="str">
            <v>Cows10</v>
          </cell>
        </row>
        <row r="48">
          <cell r="E48" t="str">
            <v>Calves</v>
          </cell>
          <cell r="G48">
            <v>0</v>
          </cell>
          <cell r="H48">
            <v>0</v>
          </cell>
          <cell r="I48">
            <v>0</v>
          </cell>
          <cell r="J48" t="str">
            <v>Cows10</v>
          </cell>
        </row>
        <row r="49">
          <cell r="E49" t="str">
            <v>Overall</v>
          </cell>
          <cell r="G49">
            <v>0</v>
          </cell>
          <cell r="H49">
            <v>0</v>
          </cell>
          <cell r="I49">
            <v>0</v>
          </cell>
          <cell r="J49" t="str">
            <v>Cows10</v>
          </cell>
        </row>
        <row r="50">
          <cell r="A50" t="str">
            <v>OpenCows10Progenydefault open value &amp; weight,40118</v>
          </cell>
          <cell r="D50" t="str">
            <v>AtFoot</v>
          </cell>
          <cell r="E50">
            <v>40118</v>
          </cell>
          <cell r="F50" t="str">
            <v>Open</v>
          </cell>
          <cell r="G50">
            <v>0</v>
          </cell>
          <cell r="H50">
            <v>0</v>
          </cell>
          <cell r="I50">
            <v>0</v>
          </cell>
          <cell r="J50" t="str">
            <v>Cows10</v>
          </cell>
          <cell r="K50" t="str">
            <v>Progeny</v>
          </cell>
          <cell r="M50">
            <v>150</v>
          </cell>
          <cell r="N50">
            <v>75</v>
          </cell>
          <cell r="O50" t="str">
            <v>default open value &amp; weight</v>
          </cell>
        </row>
        <row r="51">
          <cell r="A51" t="str">
            <v>PurchaseCows10ProgenyFoster,40269</v>
          </cell>
          <cell r="D51" t="str">
            <v>Foster</v>
          </cell>
          <cell r="E51">
            <v>40269</v>
          </cell>
          <cell r="F51" t="str">
            <v>Purchase</v>
          </cell>
          <cell r="G51">
            <v>2</v>
          </cell>
          <cell r="H51">
            <v>50</v>
          </cell>
          <cell r="I51">
            <v>140</v>
          </cell>
          <cell r="J51" t="str">
            <v>Cows10</v>
          </cell>
          <cell r="K51" t="str">
            <v>Progeny</v>
          </cell>
          <cell r="L51" t="str">
            <v>Foster</v>
          </cell>
          <cell r="M51" t="str">
            <v>Progeny Open Calculator</v>
          </cell>
        </row>
        <row r="52">
          <cell r="A52" t="str">
            <v>PurchaseCows10ProgenyAtFoot,0</v>
          </cell>
          <cell r="D52" t="str">
            <v>AtFoot</v>
          </cell>
          <cell r="E52">
            <v>0</v>
          </cell>
          <cell r="F52" t="str">
            <v>Purchase</v>
          </cell>
          <cell r="G52">
            <v>0</v>
          </cell>
          <cell r="H52">
            <v>0</v>
          </cell>
          <cell r="I52">
            <v>0</v>
          </cell>
          <cell r="J52" t="str">
            <v>Cows10</v>
          </cell>
          <cell r="K52" t="str">
            <v>Progeny</v>
          </cell>
          <cell r="L52" t="str">
            <v>AtFoot</v>
          </cell>
        </row>
        <row r="53">
          <cell r="A53" t="str">
            <v>TransInCows10ProgenyFoster,0</v>
          </cell>
          <cell r="E53">
            <v>0</v>
          </cell>
          <cell r="F53" t="str">
            <v>TransIn</v>
          </cell>
          <cell r="G53">
            <v>0</v>
          </cell>
          <cell r="H53">
            <v>0</v>
          </cell>
          <cell r="I53">
            <v>0</v>
          </cell>
          <cell r="J53" t="str">
            <v>Cows10</v>
          </cell>
          <cell r="K53" t="str">
            <v>Progeny</v>
          </cell>
          <cell r="L53" t="str">
            <v>Foster</v>
          </cell>
        </row>
        <row r="54">
          <cell r="A54" t="str">
            <v>TransInCows10ProgenyAtFoot,0</v>
          </cell>
          <cell r="D54" t="str">
            <v>AtFoot</v>
          </cell>
          <cell r="E54">
            <v>0</v>
          </cell>
          <cell r="F54" t="str">
            <v>TransIn</v>
          </cell>
          <cell r="G54">
            <v>0</v>
          </cell>
          <cell r="H54">
            <v>0</v>
          </cell>
          <cell r="I54">
            <v>0</v>
          </cell>
          <cell r="J54" t="str">
            <v>Cows10</v>
          </cell>
          <cell r="K54" t="str">
            <v>Progeny</v>
          </cell>
          <cell r="L54" t="str">
            <v>AtFoot</v>
          </cell>
        </row>
        <row r="55">
          <cell r="A55" t="str">
            <v>Cows10ProgenyFirstBirth,40275</v>
          </cell>
          <cell r="D55" t="str">
            <v>First Calving</v>
          </cell>
          <cell r="E55">
            <v>40275</v>
          </cell>
          <cell r="J55" t="str">
            <v>Cows10</v>
          </cell>
          <cell r="K55" t="str">
            <v>Progeny</v>
          </cell>
          <cell r="L55" t="str">
            <v>FirstBirth</v>
          </cell>
        </row>
        <row r="56">
          <cell r="A56" t="str">
            <v>BirthCows10ProgenyMidBirth,40296</v>
          </cell>
          <cell r="D56" t="str">
            <v>Mid Calving(Calves Born Dead/Alive)</v>
          </cell>
          <cell r="E56">
            <v>40296</v>
          </cell>
          <cell r="F56" t="str">
            <v>Birth</v>
          </cell>
          <cell r="G56">
            <v>107</v>
          </cell>
          <cell r="I56">
            <v>5350</v>
          </cell>
          <cell r="J56" t="str">
            <v>Cows10</v>
          </cell>
          <cell r="K56" t="str">
            <v>Progeny</v>
          </cell>
          <cell r="L56" t="str">
            <v>MidBirth</v>
          </cell>
        </row>
        <row r="57">
          <cell r="A57" t="str">
            <v>Cows10ProgenyLastBirth,40380</v>
          </cell>
          <cell r="D57" t="str">
            <v>Last Birth</v>
          </cell>
          <cell r="E57">
            <v>40380</v>
          </cell>
          <cell r="J57" t="str">
            <v>Cows10</v>
          </cell>
          <cell r="K57" t="str">
            <v>Progeny</v>
          </cell>
          <cell r="L57" t="str">
            <v>LastBirth</v>
          </cell>
        </row>
        <row r="58">
          <cell r="A58" t="str">
            <v>BornDeadCows10ProgenyAtFoot,40269</v>
          </cell>
          <cell r="D58" t="str">
            <v>Born Dead (within 24hours)</v>
          </cell>
          <cell r="E58">
            <v>40269</v>
          </cell>
          <cell r="F58" t="str">
            <v>BornDead</v>
          </cell>
          <cell r="G58">
            <v>2</v>
          </cell>
          <cell r="J58" t="str">
            <v>Cows10</v>
          </cell>
          <cell r="K58" t="str">
            <v>Progeny</v>
          </cell>
          <cell r="L58" t="str">
            <v>AtFoot</v>
          </cell>
        </row>
        <row r="59">
          <cell r="A59" t="str">
            <v>DeathCows10ProgenyAtFoot,0</v>
          </cell>
          <cell r="D59" t="str">
            <v>Dead (after 24hours)</v>
          </cell>
          <cell r="E59">
            <v>0</v>
          </cell>
          <cell r="F59" t="str">
            <v>Death</v>
          </cell>
          <cell r="G59">
            <v>0</v>
          </cell>
          <cell r="I59">
            <v>0</v>
          </cell>
          <cell r="J59" t="str">
            <v>Cows10</v>
          </cell>
          <cell r="K59" t="str">
            <v>Progeny</v>
          </cell>
          <cell r="L59" t="str">
            <v>AtFoot</v>
          </cell>
        </row>
        <row r="60">
          <cell r="A60" t="str">
            <v>SaleCows10ProgenyAtFoot,0</v>
          </cell>
          <cell r="D60" t="str">
            <v>Calves sold at foot</v>
          </cell>
          <cell r="E60">
            <v>0</v>
          </cell>
          <cell r="F60" t="str">
            <v>Sale</v>
          </cell>
          <cell r="G60">
            <v>0</v>
          </cell>
          <cell r="H60">
            <v>0</v>
          </cell>
          <cell r="I60">
            <v>0</v>
          </cell>
          <cell r="J60" t="str">
            <v>Cows10</v>
          </cell>
          <cell r="K60" t="str">
            <v>Progeny</v>
          </cell>
          <cell r="L60" t="str">
            <v>AtFoot</v>
          </cell>
        </row>
        <row r="61">
          <cell r="A61" t="str">
            <v>TransOutCows10ProgenyAtFoot,0</v>
          </cell>
          <cell r="E61">
            <v>0</v>
          </cell>
          <cell r="F61" t="str">
            <v>TransOut</v>
          </cell>
          <cell r="G61">
            <v>0</v>
          </cell>
          <cell r="H61">
            <v>0</v>
          </cell>
          <cell r="I61">
            <v>0</v>
          </cell>
          <cell r="J61" t="str">
            <v>Cows10</v>
          </cell>
          <cell r="K61" t="str">
            <v>Progeny</v>
          </cell>
          <cell r="L61" t="str">
            <v>AtFoot</v>
          </cell>
        </row>
        <row r="62">
          <cell r="A62" t="str">
            <v>GivingBirthCows10Female,</v>
          </cell>
          <cell r="D62" t="str">
            <v>CowsCalving</v>
          </cell>
          <cell r="F62" t="str">
            <v>GivingBirth</v>
          </cell>
          <cell r="G62">
            <v>111</v>
          </cell>
          <cell r="J62" t="str">
            <v>Cows10</v>
          </cell>
          <cell r="K62" t="str">
            <v>Female</v>
          </cell>
        </row>
        <row r="63">
          <cell r="A63" t="str">
            <v>BornAliveCows10Progeny,</v>
          </cell>
          <cell r="D63" t="str">
            <v>Calves Born Alive</v>
          </cell>
          <cell r="F63" t="str">
            <v>BornAlive</v>
          </cell>
          <cell r="G63">
            <v>105</v>
          </cell>
          <cell r="J63" t="str">
            <v>Cows10</v>
          </cell>
          <cell r="K63" t="str">
            <v>Progeny</v>
          </cell>
        </row>
        <row r="64">
          <cell r="A64" t="str">
            <v>ProgenyRearedCows10Progeny,</v>
          </cell>
          <cell r="F64" t="str">
            <v>ProgenyReared</v>
          </cell>
          <cell r="G64">
            <v>107</v>
          </cell>
          <cell r="J64" t="str">
            <v>Cows10</v>
          </cell>
          <cell r="K64" t="str">
            <v>Progeny</v>
          </cell>
        </row>
        <row r="65">
          <cell r="A65" t="str">
            <v>CloseCows10Progeny150,40695</v>
          </cell>
          <cell r="E65">
            <v>40695</v>
          </cell>
          <cell r="F65" t="str">
            <v>Close</v>
          </cell>
          <cell r="G65">
            <v>0</v>
          </cell>
          <cell r="H65">
            <v>0</v>
          </cell>
          <cell r="I65">
            <v>0</v>
          </cell>
          <cell r="J65" t="str">
            <v>Cows10</v>
          </cell>
          <cell r="K65" t="str">
            <v>Progeny</v>
          </cell>
          <cell r="M65">
            <v>150</v>
          </cell>
          <cell r="N65">
            <v>75</v>
          </cell>
          <cell r="O65" t="str">
            <v>default close value &amp; weight</v>
          </cell>
        </row>
        <row r="66">
          <cell r="A66" t="str">
            <v>EntryCows10Progeny,40296</v>
          </cell>
          <cell r="D66" t="str">
            <v>Calves Reared</v>
          </cell>
          <cell r="E66">
            <v>40296</v>
          </cell>
          <cell r="F66" t="str">
            <v>Entry</v>
          </cell>
          <cell r="G66">
            <v>107</v>
          </cell>
          <cell r="H66">
            <v>0.46728971962616822</v>
          </cell>
          <cell r="I66">
            <v>51.308411214953274</v>
          </cell>
          <cell r="J66" t="str">
            <v>Cows10</v>
          </cell>
          <cell r="K66" t="str">
            <v>Progeny</v>
          </cell>
        </row>
        <row r="67">
          <cell r="A67" t="str">
            <v>ExitCows10ProgenyAtFoot0.9862422012478,0</v>
          </cell>
          <cell r="D67" t="str">
            <v>ProgenyAtFoot Sold+Close</v>
          </cell>
          <cell r="E67">
            <v>0</v>
          </cell>
          <cell r="F67" t="str">
            <v>Exit</v>
          </cell>
          <cell r="G67">
            <v>0</v>
          </cell>
          <cell r="H67">
            <v>0</v>
          </cell>
          <cell r="I67">
            <v>0</v>
          </cell>
          <cell r="J67" t="str">
            <v>Cows10</v>
          </cell>
          <cell r="K67" t="str">
            <v>Progeny</v>
          </cell>
          <cell r="L67" t="str">
            <v>AtFoot</v>
          </cell>
          <cell r="M67">
            <v>0.98624220124780038</v>
          </cell>
          <cell r="N67" t="str">
            <v>daily gain used in grassland</v>
          </cell>
        </row>
        <row r="68">
          <cell r="A68" t="str">
            <v>Cows10,</v>
          </cell>
          <cell r="D68" t="str">
            <v>STEERS</v>
          </cell>
          <cell r="J68" t="str">
            <v>Cows10</v>
          </cell>
        </row>
        <row r="69">
          <cell r="A69" t="str">
            <v>SaleCows10ProgenySteer,40492</v>
          </cell>
          <cell r="D69" t="str">
            <v>Weaned Steer Calves</v>
          </cell>
          <cell r="E69">
            <v>40492</v>
          </cell>
          <cell r="F69" t="str">
            <v>Sale</v>
          </cell>
          <cell r="G69">
            <v>23</v>
          </cell>
          <cell r="H69">
            <v>11316</v>
          </cell>
          <cell r="I69">
            <v>6900</v>
          </cell>
          <cell r="J69" t="str">
            <v>Cows10</v>
          </cell>
          <cell r="K69" t="str">
            <v>Progeny</v>
          </cell>
          <cell r="L69" t="str">
            <v>Steer</v>
          </cell>
        </row>
        <row r="70">
          <cell r="A70" t="str">
            <v>SaleCows10ProgenySteer,40560</v>
          </cell>
          <cell r="E70">
            <v>40560</v>
          </cell>
          <cell r="F70" t="str">
            <v>Sale</v>
          </cell>
          <cell r="G70">
            <v>18</v>
          </cell>
          <cell r="H70">
            <v>7110</v>
          </cell>
          <cell r="I70">
            <v>5040</v>
          </cell>
          <cell r="J70" t="str">
            <v>Cows10</v>
          </cell>
          <cell r="K70" t="str">
            <v>Progeny</v>
          </cell>
          <cell r="L70" t="str">
            <v>Steer</v>
          </cell>
        </row>
        <row r="71">
          <cell r="A71" t="str">
            <v>SaleCows10ProgenySteer,40560</v>
          </cell>
          <cell r="D71" t="str">
            <v>Steers</v>
          </cell>
          <cell r="E71">
            <v>40560</v>
          </cell>
          <cell r="F71" t="str">
            <v>Sale</v>
          </cell>
          <cell r="G71">
            <v>21</v>
          </cell>
          <cell r="H71">
            <v>7602</v>
          </cell>
          <cell r="I71">
            <v>5670</v>
          </cell>
          <cell r="J71" t="str">
            <v>Cows10</v>
          </cell>
          <cell r="K71" t="str">
            <v>Progeny</v>
          </cell>
          <cell r="L71" t="str">
            <v>Steer</v>
          </cell>
          <cell r="S71">
            <v>1.8518518518518519</v>
          </cell>
        </row>
        <row r="72">
          <cell r="A72" t="str">
            <v>SaleCows10ProgenySteer,40561</v>
          </cell>
          <cell r="D72" t="str">
            <v>BULLS</v>
          </cell>
          <cell r="E72">
            <v>40561</v>
          </cell>
          <cell r="F72" t="str">
            <v>Sale</v>
          </cell>
          <cell r="G72">
            <v>1</v>
          </cell>
          <cell r="H72">
            <v>235</v>
          </cell>
          <cell r="I72">
            <v>180</v>
          </cell>
          <cell r="J72" t="str">
            <v>Cows10</v>
          </cell>
          <cell r="K72" t="str">
            <v>Progeny</v>
          </cell>
          <cell r="L72" t="str">
            <v>Steer</v>
          </cell>
        </row>
        <row r="73">
          <cell r="A73" t="str">
            <v>SaleCows10ProgenySteer,40638</v>
          </cell>
          <cell r="D73" t="str">
            <v>Steers</v>
          </cell>
          <cell r="E73">
            <v>40638</v>
          </cell>
          <cell r="F73" t="str">
            <v>Sale</v>
          </cell>
          <cell r="G73">
            <v>1</v>
          </cell>
          <cell r="H73">
            <v>435</v>
          </cell>
          <cell r="I73">
            <v>300</v>
          </cell>
          <cell r="J73" t="str">
            <v>Cows10</v>
          </cell>
          <cell r="K73" t="str">
            <v>Progeny</v>
          </cell>
          <cell r="L73" t="str">
            <v>Steer</v>
          </cell>
          <cell r="S73">
            <v>1.8504171632896307</v>
          </cell>
        </row>
        <row r="74">
          <cell r="A74" t="str">
            <v>ExitCows10ProgenySteer,40536.796875</v>
          </cell>
          <cell r="D74" t="str">
            <v>Steers</v>
          </cell>
          <cell r="E74">
            <v>40536.796875</v>
          </cell>
          <cell r="F74" t="str">
            <v>Exit</v>
          </cell>
          <cell r="G74">
            <v>64</v>
          </cell>
          <cell r="H74">
            <v>417.15625</v>
          </cell>
          <cell r="I74">
            <v>282.65625</v>
          </cell>
          <cell r="J74" t="str">
            <v>Cows10</v>
          </cell>
          <cell r="K74" t="str">
            <v>Progeny</v>
          </cell>
          <cell r="L74" t="str">
            <v>Steer</v>
          </cell>
          <cell r="S74">
            <v>1.4758430071862907</v>
          </cell>
        </row>
        <row r="75">
          <cell r="A75" t="str">
            <v>Cows10,</v>
          </cell>
          <cell r="D75" t="str">
            <v>BULLS</v>
          </cell>
          <cell r="E75">
            <v>40883</v>
          </cell>
          <cell r="F75" t="str">
            <v>Sale</v>
          </cell>
          <cell r="G75">
            <v>0</v>
          </cell>
          <cell r="H75">
            <v>0</v>
          </cell>
          <cell r="I75">
            <v>0</v>
          </cell>
          <cell r="J75" t="str">
            <v>Cows10</v>
          </cell>
          <cell r="K75" t="str">
            <v>Progeny</v>
          </cell>
          <cell r="L75" t="str">
            <v>Bull</v>
          </cell>
          <cell r="S75">
            <v>0</v>
          </cell>
        </row>
        <row r="76">
          <cell r="A76" t="str">
            <v>SaleCows10ProgenyBull,40561</v>
          </cell>
          <cell r="D76" t="str">
            <v>Weaned Bull Calves</v>
          </cell>
          <cell r="E76">
            <v>40561</v>
          </cell>
          <cell r="F76" t="str">
            <v>Sale</v>
          </cell>
          <cell r="G76">
            <v>2</v>
          </cell>
          <cell r="H76">
            <v>680</v>
          </cell>
          <cell r="I76">
            <v>560</v>
          </cell>
          <cell r="J76" t="str">
            <v>Cows10</v>
          </cell>
          <cell r="K76" t="str">
            <v>Progeny</v>
          </cell>
          <cell r="L76" t="str">
            <v>Bull</v>
          </cell>
        </row>
        <row r="77">
          <cell r="A77" t="str">
            <v>SaleCows10ProgenyBull,40561</v>
          </cell>
          <cell r="D77" t="str">
            <v>Weaned Bull Calves</v>
          </cell>
          <cell r="E77">
            <v>40561</v>
          </cell>
          <cell r="F77" t="str">
            <v>Sale</v>
          </cell>
          <cell r="G77">
            <v>1</v>
          </cell>
          <cell r="H77">
            <v>400</v>
          </cell>
          <cell r="I77">
            <v>250</v>
          </cell>
          <cell r="J77" t="str">
            <v>Cows10</v>
          </cell>
          <cell r="K77" t="str">
            <v>Progeny</v>
          </cell>
          <cell r="L77" t="str">
            <v>Bull</v>
          </cell>
          <cell r="M77" t="str">
            <v>Store</v>
          </cell>
          <cell r="S77">
            <v>0</v>
          </cell>
        </row>
        <row r="78">
          <cell r="A78" t="str">
            <v>SaleCows10ProgenyBull,40492</v>
          </cell>
          <cell r="D78" t="str">
            <v>HEIFERS</v>
          </cell>
          <cell r="E78">
            <v>40492</v>
          </cell>
          <cell r="F78" t="str">
            <v>Sale</v>
          </cell>
          <cell r="G78">
            <v>8</v>
          </cell>
          <cell r="H78">
            <v>3800</v>
          </cell>
          <cell r="I78">
            <v>2400</v>
          </cell>
          <cell r="J78" t="str">
            <v>Cows10</v>
          </cell>
          <cell r="K78" t="str">
            <v>Progeny</v>
          </cell>
          <cell r="L78" t="str">
            <v>Bull</v>
          </cell>
          <cell r="M78" t="str">
            <v>Breeding</v>
          </cell>
        </row>
        <row r="79">
          <cell r="A79" t="str">
            <v>ExitCows10ProgenyBull,40510.8181818182</v>
          </cell>
          <cell r="D79" t="str">
            <v>Bulls</v>
          </cell>
          <cell r="E79">
            <v>40510.818181818184</v>
          </cell>
          <cell r="F79" t="str">
            <v>Exit</v>
          </cell>
          <cell r="G79">
            <v>11</v>
          </cell>
          <cell r="H79">
            <v>443.63636363636363</v>
          </cell>
          <cell r="I79">
            <v>291.81818181818181</v>
          </cell>
          <cell r="J79" t="str">
            <v>Cows10</v>
          </cell>
          <cell r="K79" t="str">
            <v>Progeny</v>
          </cell>
          <cell r="L79" t="str">
            <v>Bull</v>
          </cell>
          <cell r="M79" t="str">
            <v>Store</v>
          </cell>
          <cell r="S79">
            <v>1.5202492211838006</v>
          </cell>
        </row>
        <row r="80">
          <cell r="A80" t="str">
            <v>Cows10,</v>
          </cell>
          <cell r="D80" t="str">
            <v>HEIFERS</v>
          </cell>
          <cell r="E80">
            <v>40870</v>
          </cell>
          <cell r="F80" t="str">
            <v>Sale</v>
          </cell>
          <cell r="G80">
            <v>17</v>
          </cell>
          <cell r="H80">
            <v>8330</v>
          </cell>
          <cell r="I80">
            <v>4930</v>
          </cell>
          <cell r="J80" t="str">
            <v>Cows10</v>
          </cell>
          <cell r="K80" t="str">
            <v>Progeny</v>
          </cell>
          <cell r="L80" t="str">
            <v>Heifer</v>
          </cell>
          <cell r="M80" t="str">
            <v>Store</v>
          </cell>
        </row>
        <row r="81">
          <cell r="A81" t="str">
            <v>SaleCows10ProgenyHeifer,40492</v>
          </cell>
          <cell r="D81" t="str">
            <v>Progeny performance</v>
          </cell>
          <cell r="E81">
            <v>40492</v>
          </cell>
          <cell r="F81" t="str">
            <v>Sale</v>
          </cell>
          <cell r="G81">
            <v>23</v>
          </cell>
          <cell r="H81">
            <v>8970</v>
          </cell>
          <cell r="I81">
            <v>6210</v>
          </cell>
          <cell r="J81" t="str">
            <v>Cows10</v>
          </cell>
          <cell r="K81" t="str">
            <v>Progeny</v>
          </cell>
          <cell r="L81" t="str">
            <v>Heifer</v>
          </cell>
          <cell r="M81" t="str">
            <v>Store</v>
          </cell>
        </row>
        <row r="82">
          <cell r="A82" t="str">
            <v>SaleCows10ProgenyHeifer,40492</v>
          </cell>
          <cell r="D82" t="str">
            <v>Back to herd?</v>
          </cell>
          <cell r="E82">
            <v>40492</v>
          </cell>
          <cell r="F82" t="str">
            <v>Sale</v>
          </cell>
          <cell r="G82">
            <v>4</v>
          </cell>
          <cell r="H82">
            <v>1320</v>
          </cell>
          <cell r="I82">
            <v>1000</v>
          </cell>
          <cell r="J82" t="str">
            <v>Cows10</v>
          </cell>
          <cell r="K82" t="str">
            <v>Progeny</v>
          </cell>
          <cell r="L82" t="str">
            <v>Heifer</v>
          </cell>
          <cell r="M82" t="str">
            <v>Breeding</v>
          </cell>
        </row>
        <row r="83">
          <cell r="A83" t="str">
            <v>SaleCows10ProgenyHeifer,40638</v>
          </cell>
          <cell r="D83" t="str">
            <v>Subsidies</v>
          </cell>
          <cell r="E83">
            <v>40638</v>
          </cell>
          <cell r="F83" t="str">
            <v>Sale</v>
          </cell>
          <cell r="G83">
            <v>1</v>
          </cell>
          <cell r="H83">
            <v>360</v>
          </cell>
          <cell r="I83">
            <v>240</v>
          </cell>
          <cell r="J83" t="str">
            <v>Cows10</v>
          </cell>
          <cell r="K83" t="str">
            <v>Progeny</v>
          </cell>
          <cell r="L83" t="str">
            <v>Heifer</v>
          </cell>
          <cell r="M83" t="str">
            <v>Breeding</v>
          </cell>
          <cell r="N83" t="str">
            <v>rest</v>
          </cell>
        </row>
        <row r="84">
          <cell r="A84" t="str">
            <v>TransOutCows10ProgenyHeifer,40695</v>
          </cell>
          <cell r="D84" t="str">
            <v>Heifers</v>
          </cell>
          <cell r="E84">
            <v>40695</v>
          </cell>
          <cell r="F84" t="str">
            <v>TransOut</v>
          </cell>
          <cell r="G84">
            <v>4</v>
          </cell>
          <cell r="H84">
            <v>2000</v>
          </cell>
          <cell r="I84">
            <v>1400</v>
          </cell>
          <cell r="J84" t="str">
            <v>Cows10</v>
          </cell>
          <cell r="K84" t="str">
            <v>Progeny</v>
          </cell>
          <cell r="L84" t="str">
            <v>Heifer</v>
          </cell>
          <cell r="M84" t="str">
            <v>Breeding</v>
          </cell>
          <cell r="N84">
            <v>38.5</v>
          </cell>
          <cell r="S84">
            <v>1.8875843117661752</v>
          </cell>
        </row>
        <row r="85">
          <cell r="A85" t="str">
            <v>ExitCows10ProgenyHeifer,40521.9375</v>
          </cell>
          <cell r="D85" t="str">
            <v>Heifers</v>
          </cell>
          <cell r="E85">
            <v>40521.9375</v>
          </cell>
          <cell r="F85" t="str">
            <v>Exit</v>
          </cell>
          <cell r="G85">
            <v>32</v>
          </cell>
          <cell r="H85">
            <v>395.3125</v>
          </cell>
          <cell r="I85">
            <v>276.5625</v>
          </cell>
          <cell r="J85" t="str">
            <v>SpCow</v>
          </cell>
          <cell r="K85" t="str">
            <v>Progeny</v>
          </cell>
          <cell r="L85" t="str">
            <v>Heifer</v>
          </cell>
          <cell r="S85">
            <v>1.4293785310734464</v>
          </cell>
        </row>
        <row r="86">
          <cell r="A86" t="str">
            <v>Cows10,</v>
          </cell>
          <cell r="D86" t="str">
            <v>Liveweight Sold</v>
          </cell>
          <cell r="F86" t="str">
            <v>NetLiveweightSoldKg</v>
          </cell>
          <cell r="G86">
            <v>36795</v>
          </cell>
          <cell r="I86">
            <v>1.0446468009921512</v>
          </cell>
          <cell r="J86" t="str">
            <v>Cows10</v>
          </cell>
          <cell r="K86" t="str">
            <v>Kilo of Liveweight</v>
          </cell>
        </row>
        <row r="87">
          <cell r="A87" t="str">
            <v>NetLiveweightSoldKgCows10Kilo of Liveweight,</v>
          </cell>
          <cell r="D87" t="str">
            <v>Progeny performance</v>
          </cell>
          <cell r="E87">
            <v>33695</v>
          </cell>
          <cell r="F87" t="str">
            <v>NetLiveweightSoldKg</v>
          </cell>
          <cell r="G87">
            <v>30010</v>
          </cell>
          <cell r="H87">
            <v>29431</v>
          </cell>
          <cell r="I87">
            <v>0.98624220124780038</v>
          </cell>
          <cell r="J87" t="str">
            <v>Cows10</v>
          </cell>
          <cell r="K87" t="str">
            <v>Kilo of Liveweight</v>
          </cell>
        </row>
        <row r="88">
          <cell r="A88" t="str">
            <v>AverageNoCows10,30010</v>
          </cell>
          <cell r="D88" t="str">
            <v>NetWeight</v>
          </cell>
          <cell r="E88">
            <v>30010</v>
          </cell>
          <cell r="F88" t="str">
            <v>Sale</v>
          </cell>
          <cell r="G88">
            <v>249.93854395151146</v>
          </cell>
          <cell r="H88">
            <v>28839.599961863889</v>
          </cell>
          <cell r="I88">
            <v>233.6822429906542</v>
          </cell>
          <cell r="J88" t="str">
            <v>SpCow</v>
          </cell>
          <cell r="K88" t="str">
            <v>OtherIncome</v>
          </cell>
          <cell r="L88" t="str">
            <v>SFP</v>
          </cell>
          <cell r="M88" t="str">
            <v>1st</v>
          </cell>
          <cell r="N88">
            <v>78.71075217366608</v>
          </cell>
          <cell r="O88" t="str">
            <v>Forage area</v>
          </cell>
        </row>
        <row r="89">
          <cell r="A89" t="str">
            <v>Cows10,</v>
          </cell>
          <cell r="D89" t="str">
            <v>Subsidies</v>
          </cell>
          <cell r="E89">
            <v>40483</v>
          </cell>
          <cell r="F89" t="str">
            <v>Sale</v>
          </cell>
          <cell r="G89">
            <v>46.105600204228082</v>
          </cell>
          <cell r="H89">
            <v>5319.9760423887474</v>
          </cell>
          <cell r="J89" t="str">
            <v>Cows10</v>
          </cell>
          <cell r="K89" t="str">
            <v>Subsidy</v>
          </cell>
          <cell r="L89" t="str">
            <v>CalfPremium</v>
          </cell>
          <cell r="M89" t="str">
            <v>1st</v>
          </cell>
          <cell r="N89" t="str">
            <v>rest</v>
          </cell>
        </row>
        <row r="90">
          <cell r="A90" t="str">
            <v>SaleCows10SubsidyCalfPremium,40118</v>
          </cell>
          <cell r="D90" t="str">
            <v>Calf Premium</v>
          </cell>
          <cell r="E90">
            <v>40118</v>
          </cell>
          <cell r="F90" t="str">
            <v>Sale</v>
          </cell>
          <cell r="G90">
            <v>0.42739683865501515</v>
          </cell>
          <cell r="H90">
            <v>49.315938457924197</v>
          </cell>
          <cell r="J90" t="str">
            <v>Cows10</v>
          </cell>
          <cell r="K90" t="str">
            <v>Subsidy</v>
          </cell>
          <cell r="L90" t="str">
            <v>CalfPremium</v>
          </cell>
          <cell r="M90">
            <v>89.77</v>
          </cell>
          <cell r="N90">
            <v>44.88</v>
          </cell>
        </row>
        <row r="91">
          <cell r="A91" t="str">
            <v>SaleSpcow12OtherIncomeOrganicProductionGrant,</v>
          </cell>
          <cell r="D91" t="str">
            <v>Looked from "FixedCost Calculator"</v>
          </cell>
          <cell r="F91" t="str">
            <v>Sale</v>
          </cell>
          <cell r="G91">
            <v>0</v>
          </cell>
          <cell r="H91">
            <v>0</v>
          </cell>
          <cell r="J91" t="str">
            <v>Cows10</v>
          </cell>
          <cell r="K91" t="str">
            <v>OtherIncome</v>
          </cell>
          <cell r="L91" t="str">
            <v>OrganicProductionGrant</v>
          </cell>
        </row>
        <row r="92">
          <cell r="A92" t="str">
            <v>SaleSpcow12OtherIncomeEnvironmentalSubsidy,</v>
          </cell>
          <cell r="D92" t="str">
            <v>Share of decoupled subsidies alloacated in "Fixed Cost Calculator":-</v>
          </cell>
          <cell r="F92" t="str">
            <v>Sale</v>
          </cell>
          <cell r="G92">
            <v>3.8361472347572092</v>
          </cell>
          <cell r="H92">
            <v>442.64061835405136</v>
          </cell>
          <cell r="J92" t="str">
            <v>Cows10</v>
          </cell>
          <cell r="K92" t="str">
            <v>OtherIncome</v>
          </cell>
          <cell r="L92" t="str">
            <v>EnvironmentalSubsidy</v>
          </cell>
        </row>
        <row r="93">
          <cell r="A93" t="str">
            <v>SaleSpCowOtherIncomeSFPForage area,</v>
          </cell>
          <cell r="D93" t="str">
            <v>Share of decoupled subsidies alloacated in "Fixed Cost Calculator":-</v>
          </cell>
          <cell r="F93" t="str">
            <v>Sale</v>
          </cell>
          <cell r="G93">
            <v>263.11510911132666</v>
          </cell>
          <cell r="H93">
            <v>30397.096546636069</v>
          </cell>
          <cell r="J93" t="str">
            <v>Cows10</v>
          </cell>
          <cell r="K93" t="str">
            <v>OtherIncome</v>
          </cell>
          <cell r="L93" t="str">
            <v>SFP</v>
          </cell>
          <cell r="N93">
            <v>92.928797091568427</v>
          </cell>
          <cell r="O93" t="str">
            <v>Forage area</v>
          </cell>
        </row>
        <row r="94">
          <cell r="A94" t="str">
            <v>SaleCows10OtherIncomeSFPForage area,</v>
          </cell>
          <cell r="D94" t="str">
            <v>Looked from "FixedCost Calculator"</v>
          </cell>
          <cell r="F94" t="str">
            <v>Sale</v>
          </cell>
          <cell r="G94">
            <v>280.71939793140035</v>
          </cell>
          <cell r="H94">
            <v>27470.684575220552</v>
          </cell>
          <cell r="J94" t="str">
            <v>Cows10</v>
          </cell>
          <cell r="K94" t="str">
            <v>OtherIncome</v>
          </cell>
          <cell r="L94" t="str">
            <v>SFP</v>
          </cell>
          <cell r="M94" t="str">
            <v>Feedtype</v>
          </cell>
          <cell r="N94">
            <v>0</v>
          </cell>
          <cell r="O94" t="str">
            <v>Forage area</v>
          </cell>
        </row>
        <row r="95">
          <cell r="A95" t="str">
            <v>SaleCows10OtherIncomeHFAS/LFAS,</v>
          </cell>
          <cell r="D95" t="str">
            <v>Looked from "FixedCost Calculator"</v>
          </cell>
          <cell r="F95" t="str">
            <v>Sale</v>
          </cell>
          <cell r="G95">
            <v>48.91842809029071</v>
          </cell>
          <cell r="H95">
            <v>4787.0675054396343</v>
          </cell>
          <cell r="J95" t="str">
            <v>Cows10</v>
          </cell>
          <cell r="K95" t="str">
            <v>OtherIncome</v>
          </cell>
          <cell r="L95" t="str">
            <v>HFAS/LFAS</v>
          </cell>
          <cell r="M95">
            <v>0.88</v>
          </cell>
          <cell r="N95">
            <v>20.239999999999998</v>
          </cell>
          <cell r="O95">
            <v>3300</v>
          </cell>
          <cell r="P95">
            <v>0.04</v>
          </cell>
          <cell r="Q95">
            <v>2671.68</v>
          </cell>
        </row>
        <row r="96">
          <cell r="A96" t="str">
            <v>SaleCows10OtherIncomeELS/LMC,</v>
          </cell>
          <cell r="D96" t="str">
            <v>Looked from "FixedCost Calculator"</v>
          </cell>
          <cell r="F96" t="str">
            <v>Sale</v>
          </cell>
          <cell r="G96">
            <v>0</v>
          </cell>
          <cell r="H96">
            <v>0</v>
          </cell>
          <cell r="J96" t="str">
            <v>Cows10</v>
          </cell>
          <cell r="K96" t="str">
            <v>OtherIncome</v>
          </cell>
          <cell r="L96" t="str">
            <v>ELS/LMC</v>
          </cell>
          <cell r="M96">
            <v>0.88</v>
          </cell>
          <cell r="N96">
            <v>63.36</v>
          </cell>
          <cell r="O96">
            <v>3300</v>
          </cell>
          <cell r="P96">
            <v>0.04</v>
          </cell>
          <cell r="Q96">
            <v>8363.52</v>
          </cell>
        </row>
        <row r="97">
          <cell r="A97" t="str">
            <v>SaleCows10OtherIncomeOrganicProductionGrant,</v>
          </cell>
          <cell r="D97" t="str">
            <v>Looked from "FixedCost Calculator"</v>
          </cell>
          <cell r="F97" t="str">
            <v>Sale</v>
          </cell>
          <cell r="G97">
            <v>0</v>
          </cell>
          <cell r="H97">
            <v>0</v>
          </cell>
          <cell r="J97" t="str">
            <v>Cows10</v>
          </cell>
          <cell r="K97" t="str">
            <v>OtherIncome</v>
          </cell>
          <cell r="L97" t="str">
            <v>OrganicProductionGrant</v>
          </cell>
          <cell r="M97">
            <v>0.88</v>
          </cell>
          <cell r="N97">
            <v>1.76</v>
          </cell>
          <cell r="O97">
            <v>3300</v>
          </cell>
          <cell r="P97">
            <v>0.04</v>
          </cell>
          <cell r="Q97">
            <v>232.32</v>
          </cell>
        </row>
        <row r="98">
          <cell r="A98" t="str">
            <v>SaleCows10OtherIncomeEnvironmentalSubsidy,</v>
          </cell>
          <cell r="D98" t="str">
            <v>Looked from "FixedCost Calculator"</v>
          </cell>
          <cell r="F98" t="str">
            <v>Sale</v>
          </cell>
          <cell r="G98">
            <v>0</v>
          </cell>
          <cell r="H98">
            <v>0</v>
          </cell>
          <cell r="J98" t="str">
            <v>Cows10</v>
          </cell>
          <cell r="K98" t="str">
            <v>OtherIncome</v>
          </cell>
          <cell r="L98" t="str">
            <v>EnvironmentalSubsidy</v>
          </cell>
          <cell r="M98">
            <v>0.22</v>
          </cell>
          <cell r="N98">
            <v>0</v>
          </cell>
          <cell r="O98">
            <v>3300</v>
          </cell>
          <cell r="P98">
            <v>0.04</v>
          </cell>
          <cell r="Q98">
            <v>0</v>
          </cell>
        </row>
        <row r="99">
          <cell r="A99" t="str">
            <v>SaleCows10OtherIncomeSundryFarmIncome,</v>
          </cell>
          <cell r="D99" t="str">
            <v>Looked from "FixedCost Calculator"</v>
          </cell>
          <cell r="F99" t="str">
            <v>Sale</v>
          </cell>
          <cell r="G99">
            <v>0</v>
          </cell>
          <cell r="H99">
            <v>0</v>
          </cell>
          <cell r="J99" t="str">
            <v>Cows10</v>
          </cell>
          <cell r="K99" t="str">
            <v>OtherIncome</v>
          </cell>
          <cell r="L99" t="str">
            <v>SundryFarmIncome</v>
          </cell>
          <cell r="M99" t="str">
            <v>Feedtype</v>
          </cell>
          <cell r="N99">
            <v>17.2</v>
          </cell>
          <cell r="O99">
            <v>2740</v>
          </cell>
          <cell r="P99">
            <v>0.06</v>
          </cell>
          <cell r="Q99">
            <v>2827.68</v>
          </cell>
        </row>
        <row r="100">
          <cell r="A100" t="str">
            <v>Cows102008 classCarbonClass,</v>
          </cell>
          <cell r="D100" t="str">
            <v>Variable Costs :-</v>
          </cell>
          <cell r="F100" t="str">
            <v>Purchase</v>
          </cell>
          <cell r="G100">
            <v>3</v>
          </cell>
          <cell r="H100">
            <v>660</v>
          </cell>
          <cell r="J100" t="str">
            <v>Cows10</v>
          </cell>
          <cell r="K100" t="str">
            <v>2008 class</v>
          </cell>
          <cell r="L100" t="str">
            <v>CarbonClass</v>
          </cell>
          <cell r="M100" t="str">
            <v>Feedtype</v>
          </cell>
          <cell r="N100">
            <v>2.64</v>
          </cell>
          <cell r="O100">
            <v>3300</v>
          </cell>
          <cell r="P100">
            <v>0.04</v>
          </cell>
          <cell r="Q100">
            <v>348.48</v>
          </cell>
        </row>
        <row r="101">
          <cell r="A101" t="str">
            <v>PurchaseCows10Concentrate16%Compound3300,</v>
          </cell>
          <cell r="D101" t="str">
            <v>BOCM cake</v>
          </cell>
          <cell r="F101" t="str">
            <v>Purchase</v>
          </cell>
          <cell r="G101">
            <v>3</v>
          </cell>
          <cell r="H101">
            <v>576</v>
          </cell>
          <cell r="J101" t="str">
            <v>Cows10</v>
          </cell>
          <cell r="K101" t="str">
            <v>Concentrate</v>
          </cell>
          <cell r="L101" t="str">
            <v>16%Compound</v>
          </cell>
          <cell r="M101">
            <v>0.88</v>
          </cell>
          <cell r="N101">
            <v>2.64</v>
          </cell>
          <cell r="O101">
            <v>3300</v>
          </cell>
          <cell r="P101">
            <v>0.04</v>
          </cell>
          <cell r="Q101">
            <v>348.48</v>
          </cell>
        </row>
        <row r="102">
          <cell r="A102" t="str">
            <v>TransInCows10Concentrate0.880.04,</v>
          </cell>
          <cell r="D102" t="str">
            <v>Own barley</v>
          </cell>
          <cell r="F102" t="str">
            <v>TransIn</v>
          </cell>
          <cell r="G102">
            <v>60</v>
          </cell>
          <cell r="H102">
            <v>6000</v>
          </cell>
          <cell r="J102" t="str">
            <v>Cows10</v>
          </cell>
          <cell r="K102" t="str">
            <v>Concentrate</v>
          </cell>
          <cell r="L102" t="str">
            <v>Barley/wheat/oats</v>
          </cell>
          <cell r="M102">
            <v>0.88</v>
          </cell>
          <cell r="N102">
            <v>52.8</v>
          </cell>
          <cell r="O102">
            <v>3300</v>
          </cell>
          <cell r="P102">
            <v>0.04</v>
          </cell>
          <cell r="Q102">
            <v>6969.6</v>
          </cell>
        </row>
        <row r="103">
          <cell r="A103" t="str">
            <v>PurchaseCows10Concentrate0.880.04,</v>
          </cell>
          <cell r="D103" t="str">
            <v>Mineral</v>
          </cell>
          <cell r="F103" t="str">
            <v>Purchase</v>
          </cell>
          <cell r="G103">
            <v>15</v>
          </cell>
          <cell r="H103">
            <v>4230</v>
          </cell>
          <cell r="I103">
            <v>22.705629106894349</v>
          </cell>
          <cell r="J103" t="str">
            <v>Cows10</v>
          </cell>
          <cell r="K103" t="str">
            <v>Concentrate</v>
          </cell>
          <cell r="L103" t="str">
            <v>Barley/wheat/oats</v>
          </cell>
          <cell r="M103">
            <v>0.88</v>
          </cell>
          <cell r="N103">
            <v>13.2</v>
          </cell>
          <cell r="O103">
            <v>3300</v>
          </cell>
          <cell r="P103">
            <v>0.04</v>
          </cell>
          <cell r="Q103">
            <v>1742.4</v>
          </cell>
        </row>
        <row r="104">
          <cell r="A104" t="str">
            <v>PurchaseCows10OtherFeed0.880.04,</v>
          </cell>
          <cell r="D104" t="str">
            <v>Mineral</v>
          </cell>
          <cell r="F104" t="str">
            <v>Purchase</v>
          </cell>
          <cell r="G104">
            <v>2.5</v>
          </cell>
          <cell r="H104">
            <v>1238</v>
          </cell>
          <cell r="I104">
            <v>0</v>
          </cell>
          <cell r="J104" t="str">
            <v>Cows10</v>
          </cell>
          <cell r="K104" t="str">
            <v>OtherFeed</v>
          </cell>
          <cell r="L104" t="str">
            <v>Minerals</v>
          </cell>
          <cell r="M104">
            <v>0.88</v>
          </cell>
          <cell r="N104">
            <v>2.2000000000000002</v>
          </cell>
          <cell r="O104">
            <v>3300</v>
          </cell>
          <cell r="P104">
            <v>0.04</v>
          </cell>
          <cell r="Q104">
            <v>290.40000000000003</v>
          </cell>
        </row>
        <row r="105">
          <cell r="A105" t="str">
            <v>PurchaseCows10OtherFeed0.70.04,</v>
          </cell>
          <cell r="D105" t="str">
            <v>Draff</v>
          </cell>
          <cell r="F105" t="str">
            <v>Purchase</v>
          </cell>
          <cell r="G105">
            <v>6</v>
          </cell>
          <cell r="H105">
            <v>378</v>
          </cell>
          <cell r="I105">
            <v>0</v>
          </cell>
          <cell r="J105" t="str">
            <v>Cows10</v>
          </cell>
          <cell r="K105" t="str">
            <v>OtherFeed</v>
          </cell>
          <cell r="L105" t="str">
            <v>Molasses</v>
          </cell>
          <cell r="M105">
            <v>0.7</v>
          </cell>
          <cell r="N105">
            <v>4.1999999999999993</v>
          </cell>
          <cell r="O105">
            <v>3300</v>
          </cell>
          <cell r="P105">
            <v>0.04</v>
          </cell>
          <cell r="Q105">
            <v>554.4</v>
          </cell>
        </row>
        <row r="106">
          <cell r="A106" t="str">
            <v>TransInCows10OtherForage0.860.06,</v>
          </cell>
          <cell r="D106" t="str">
            <v>Feed Straw at market value</v>
          </cell>
          <cell r="F106" t="str">
            <v>TransIn</v>
          </cell>
          <cell r="G106">
            <v>0</v>
          </cell>
          <cell r="H106">
            <v>0</v>
          </cell>
          <cell r="J106" t="str">
            <v>Cows10</v>
          </cell>
          <cell r="K106" t="str">
            <v>OtherForage</v>
          </cell>
          <cell r="L106" t="str">
            <v>Feed Straw</v>
          </cell>
          <cell r="M106">
            <v>0.86</v>
          </cell>
          <cell r="N106">
            <v>0</v>
          </cell>
          <cell r="O106">
            <v>2740</v>
          </cell>
          <cell r="P106">
            <v>0.06</v>
          </cell>
          <cell r="Q106">
            <v>0</v>
          </cell>
        </row>
        <row r="107">
          <cell r="A107" t="str">
            <v>TransInCows10OtherForage0.850.06,</v>
          </cell>
          <cell r="D107" t="str">
            <v>Purchased hay at market value</v>
          </cell>
          <cell r="F107" t="str">
            <v>TransIn</v>
          </cell>
          <cell r="G107">
            <v>0</v>
          </cell>
          <cell r="H107">
            <v>0</v>
          </cell>
          <cell r="I107">
            <v>0</v>
          </cell>
          <cell r="J107" t="str">
            <v>Cows10</v>
          </cell>
          <cell r="K107" t="str">
            <v>OtherForage</v>
          </cell>
          <cell r="L107" t="str">
            <v>Hay</v>
          </cell>
          <cell r="M107">
            <v>0.86</v>
          </cell>
          <cell r="N107">
            <v>0</v>
          </cell>
          <cell r="O107">
            <v>2740</v>
          </cell>
          <cell r="P107">
            <v>0.06</v>
          </cell>
          <cell r="Q107">
            <v>0</v>
          </cell>
        </row>
        <row r="108">
          <cell r="A108" t="str">
            <v>PurchaseCows10Bedding0.860.06,</v>
          </cell>
          <cell r="D108" t="str">
            <v>Bedding</v>
          </cell>
          <cell r="F108" t="str">
            <v>Purchase</v>
          </cell>
          <cell r="G108">
            <v>0</v>
          </cell>
          <cell r="H108">
            <v>0</v>
          </cell>
          <cell r="J108" t="str">
            <v>Cows10</v>
          </cell>
          <cell r="K108" t="str">
            <v>Bedding</v>
          </cell>
          <cell r="M108">
            <v>0.86</v>
          </cell>
          <cell r="N108">
            <v>0</v>
          </cell>
          <cell r="O108">
            <v>2740</v>
          </cell>
          <cell r="P108">
            <v>0.06</v>
          </cell>
          <cell r="Q108">
            <v>0</v>
          </cell>
        </row>
        <row r="109">
          <cell r="A109" t="str">
            <v>TransInCows10Bedding0.860.06,</v>
          </cell>
          <cell r="D109" t="str">
            <v>Homegrown Bedding at market value</v>
          </cell>
          <cell r="F109" t="str">
            <v>TransIn</v>
          </cell>
          <cell r="G109">
            <v>0</v>
          </cell>
          <cell r="H109">
            <v>0</v>
          </cell>
          <cell r="I109">
            <v>29.733396966306511</v>
          </cell>
          <cell r="J109" t="str">
            <v>Cows10</v>
          </cell>
          <cell r="K109" t="str">
            <v>Bedding</v>
          </cell>
          <cell r="M109">
            <v>0.86</v>
          </cell>
          <cell r="N109">
            <v>0</v>
          </cell>
          <cell r="O109">
            <v>2740</v>
          </cell>
          <cell r="P109">
            <v>0.06</v>
          </cell>
          <cell r="Q109">
            <v>10338.24</v>
          </cell>
        </row>
        <row r="110">
          <cell r="A110" t="str">
            <v>TransInCows10Silage,</v>
          </cell>
          <cell r="D110" t="str">
            <v>Homegrown Silage at variable cost</v>
          </cell>
          <cell r="F110" t="str">
            <v>TransIn</v>
          </cell>
          <cell r="G110">
            <v>800</v>
          </cell>
          <cell r="H110">
            <v>4112.6188863772204</v>
          </cell>
          <cell r="I110">
            <v>31.024508212478192</v>
          </cell>
          <cell r="J110" t="str">
            <v>Cows10</v>
          </cell>
          <cell r="K110" t="str">
            <v>Silage</v>
          </cell>
          <cell r="L110" t="str">
            <v>Suckler</v>
          </cell>
          <cell r="Q110">
            <v>9905.2799999999988</v>
          </cell>
        </row>
        <row r="111">
          <cell r="A111" t="str">
            <v>TransInCows10Hay,</v>
          </cell>
          <cell r="D111" t="str">
            <v>Homegrown Hay at variable cost</v>
          </cell>
          <cell r="F111" t="str">
            <v>TransIn</v>
          </cell>
          <cell r="G111">
            <v>0</v>
          </cell>
          <cell r="H111">
            <v>0</v>
          </cell>
          <cell r="I111">
            <v>0</v>
          </cell>
          <cell r="J111" t="str">
            <v>Cows10</v>
          </cell>
          <cell r="K111" t="str">
            <v>Hay</v>
          </cell>
        </row>
        <row r="112">
          <cell r="A112" t="str">
            <v>TransInCows10Roots,</v>
          </cell>
          <cell r="D112" t="str">
            <v>HomeGrownCartedSwedes</v>
          </cell>
          <cell r="F112" t="str">
            <v>TransIn</v>
          </cell>
          <cell r="G112">
            <v>0</v>
          </cell>
          <cell r="H112">
            <v>0</v>
          </cell>
          <cell r="I112">
            <v>0</v>
          </cell>
          <cell r="J112" t="str">
            <v>SpCow</v>
          </cell>
          <cell r="K112" t="str">
            <v>Vet&amp;Med</v>
          </cell>
        </row>
        <row r="113">
          <cell r="A113" t="str">
            <v>PurchaseCows10Vet&amp;Med,</v>
          </cell>
          <cell r="D113" t="str">
            <v>Grazing not included in grass below</v>
          </cell>
          <cell r="F113" t="str">
            <v>Purchase</v>
          </cell>
          <cell r="G113">
            <v>92.566477700613859</v>
          </cell>
          <cell r="H113">
            <v>3018</v>
          </cell>
          <cell r="I113">
            <v>0</v>
          </cell>
          <cell r="J113" t="str">
            <v>Cows10</v>
          </cell>
          <cell r="K113" t="str">
            <v>Vet&amp;Med</v>
          </cell>
        </row>
        <row r="114">
          <cell r="A114" t="str">
            <v>TransInCows10Grazing,</v>
          </cell>
          <cell r="D114" t="str">
            <v>Grazing not included in grass below</v>
          </cell>
          <cell r="F114" t="str">
            <v>TransIn</v>
          </cell>
          <cell r="G114">
            <v>8.3963315677792547</v>
          </cell>
          <cell r="H114">
            <v>0</v>
          </cell>
          <cell r="I114">
            <v>0</v>
          </cell>
          <cell r="J114" t="str">
            <v>SpCow</v>
          </cell>
          <cell r="K114" t="str">
            <v>Marketing</v>
          </cell>
        </row>
        <row r="115">
          <cell r="A115" t="str">
            <v>PurchaseCows10Marketing,</v>
          </cell>
          <cell r="D115" t="str">
            <v>Haul &amp; marketing</v>
          </cell>
          <cell r="F115" t="str">
            <v>Purchase</v>
          </cell>
          <cell r="G115">
            <v>7.7659911333653282</v>
          </cell>
          <cell r="H115">
            <v>0</v>
          </cell>
          <cell r="J115" t="str">
            <v>Cows10</v>
          </cell>
          <cell r="K115" t="str">
            <v>Marketing</v>
          </cell>
        </row>
        <row r="116">
          <cell r="A116" t="str">
            <v>PurchaseCows10SundryEnterpriseCosts,</v>
          </cell>
          <cell r="D116" t="str">
            <v>Sundries</v>
          </cell>
          <cell r="F116" t="str">
            <v>Purchase</v>
          </cell>
          <cell r="G116">
            <v>115.52775</v>
          </cell>
          <cell r="H116">
            <v>0</v>
          </cell>
          <cell r="J116" t="str">
            <v>Cows10</v>
          </cell>
          <cell r="K116" t="str">
            <v>SundryEnterpriseCosts</v>
          </cell>
          <cell r="L116" t="str">
            <v>Suckler</v>
          </cell>
        </row>
        <row r="117">
          <cell r="A117" t="str">
            <v>Cows10FixedCostsSuckler,</v>
          </cell>
          <cell r="D117" t="str">
            <v>Fixed Costs</v>
          </cell>
          <cell r="F117" t="str">
            <v>Purchase</v>
          </cell>
          <cell r="G117">
            <v>97.858162911611785</v>
          </cell>
          <cell r="H117">
            <v>2400</v>
          </cell>
          <cell r="J117" t="str">
            <v>Cows10</v>
          </cell>
          <cell r="K117" t="str">
            <v>FixedCosts</v>
          </cell>
          <cell r="L117" t="str">
            <v>Suckler</v>
          </cell>
        </row>
        <row r="118">
          <cell r="A118" t="str">
            <v>PurchaseCows10Wages,</v>
          </cell>
          <cell r="D118" t="str">
            <v>Wages</v>
          </cell>
          <cell r="F118" t="str">
            <v>Purchase</v>
          </cell>
          <cell r="G118">
            <v>28.027628372497038</v>
          </cell>
          <cell r="H118">
            <v>2742.7322233019277</v>
          </cell>
          <cell r="J118" t="str">
            <v>Cows10</v>
          </cell>
          <cell r="K118" t="str">
            <v>Wages</v>
          </cell>
        </row>
        <row r="119">
          <cell r="A119" t="str">
            <v>PurchaseCows10Contract,</v>
          </cell>
          <cell r="D119" t="str">
            <v>Contract</v>
          </cell>
          <cell r="F119" t="str">
            <v>Purchase</v>
          </cell>
          <cell r="G119">
            <v>0</v>
          </cell>
          <cell r="H119">
            <v>0</v>
          </cell>
          <cell r="J119" t="str">
            <v>Cows10</v>
          </cell>
          <cell r="K119" t="str">
            <v>Contract</v>
          </cell>
        </row>
        <row r="120">
          <cell r="A120" t="str">
            <v>PurchaseCows10Machinery,</v>
          </cell>
          <cell r="D120" t="str">
            <v>Machinery</v>
          </cell>
          <cell r="F120" t="str">
            <v>Purchase</v>
          </cell>
          <cell r="G120">
            <v>118.1690719506809</v>
          </cell>
          <cell r="H120">
            <v>11563.808294063707</v>
          </cell>
          <cell r="J120" t="str">
            <v>Cows10</v>
          </cell>
          <cell r="K120" t="str">
            <v>Machinery</v>
          </cell>
        </row>
        <row r="121">
          <cell r="A121" t="str">
            <v>PurchaseCows10General,</v>
          </cell>
          <cell r="D121" t="str">
            <v>General</v>
          </cell>
          <cell r="F121" t="str">
            <v>Purchase</v>
          </cell>
          <cell r="G121">
            <v>4.9229562766347161</v>
          </cell>
          <cell r="H121">
            <v>481.75145732566182</v>
          </cell>
          <cell r="I121" t="str">
            <v>ENTERPRISE</v>
          </cell>
          <cell r="J121" t="str">
            <v>Cows10</v>
          </cell>
          <cell r="K121" t="str">
            <v>General</v>
          </cell>
        </row>
        <row r="122">
          <cell r="A122" t="str">
            <v>PurchaseCows10Property,</v>
          </cell>
          <cell r="D122" t="str">
            <v>Property</v>
          </cell>
          <cell r="F122" t="str">
            <v>Purchase</v>
          </cell>
          <cell r="G122">
            <v>21.642886305745016</v>
          </cell>
          <cell r="H122">
            <v>2117.9330939850875</v>
          </cell>
          <cell r="I122">
            <v>0</v>
          </cell>
          <cell r="J122" t="str">
            <v>Cows10</v>
          </cell>
          <cell r="K122" t="str">
            <v>Property</v>
          </cell>
        </row>
        <row r="123">
          <cell r="A123" t="str">
            <v>PurchaseCows10Land,</v>
          </cell>
          <cell r="D123" t="str">
            <v>Land</v>
          </cell>
          <cell r="F123" t="str">
            <v>Purchase</v>
          </cell>
          <cell r="G123">
            <v>93.137500404209433</v>
          </cell>
          <cell r="H123">
            <v>9114.2646877354346</v>
          </cell>
          <cell r="I123">
            <v>4194.9072383247822</v>
          </cell>
          <cell r="J123" t="str">
            <v>Cows10</v>
          </cell>
          <cell r="K123" t="str">
            <v>Land</v>
          </cell>
        </row>
        <row r="124">
          <cell r="A124" t="str">
            <v>PurchaseCows10Depreciation,</v>
          </cell>
          <cell r="D124" t="str">
            <v>Depreciation</v>
          </cell>
          <cell r="F124" t="str">
            <v>Purchase</v>
          </cell>
          <cell r="G124">
            <v>130.56404898093177</v>
          </cell>
          <cell r="H124">
            <v>12776.757975575681</v>
          </cell>
          <cell r="I124">
            <v>0</v>
          </cell>
          <cell r="J124" t="str">
            <v>Cows10</v>
          </cell>
          <cell r="K124" t="str">
            <v>Depreciation</v>
          </cell>
        </row>
        <row r="125">
          <cell r="A125" t="str">
            <v>PurchaseCows10Finance,</v>
          </cell>
          <cell r="D125" t="str">
            <v>Finance</v>
          </cell>
          <cell r="F125" t="str">
            <v>Purchase</v>
          </cell>
          <cell r="G125">
            <v>22.591234938176484</v>
          </cell>
          <cell r="H125">
            <v>2210.7367489545704</v>
          </cell>
          <cell r="J125" t="str">
            <v>Cows10</v>
          </cell>
          <cell r="K125" t="str">
            <v>Finance</v>
          </cell>
        </row>
        <row r="126">
          <cell r="A126" t="str">
            <v>PurchaseCows10EnterpriseLabourUnits,</v>
          </cell>
          <cell r="D126" t="str">
            <v>Unpaid Labour Units</v>
          </cell>
          <cell r="F126" t="str">
            <v>Purchase</v>
          </cell>
          <cell r="G126">
            <v>6.0404371492450504E-3</v>
          </cell>
          <cell r="H126">
            <v>0.59110608260817399</v>
          </cell>
          <cell r="I126">
            <v>14095.2</v>
          </cell>
          <cell r="J126" t="str">
            <v>Cows10</v>
          </cell>
          <cell r="K126" t="str">
            <v>EnterpriseLabourUnits</v>
          </cell>
        </row>
        <row r="127">
          <cell r="A127" t="str">
            <v>Spcow12Fertilisers</v>
          </cell>
          <cell r="D127" t="str">
            <v>CARBON CALC</v>
          </cell>
          <cell r="E127">
            <v>78.71075217366608</v>
          </cell>
          <cell r="G127" t="str">
            <v>PER LU</v>
          </cell>
          <cell r="I127" t="str">
            <v>ENTERPRISE</v>
          </cell>
          <cell r="J127" t="str">
            <v>Cows10</v>
          </cell>
        </row>
        <row r="128">
          <cell r="A128" t="str">
            <v>PurchaseSpCowFuel(Business),</v>
          </cell>
          <cell r="D128" t="str">
            <v>Direct CO2</v>
          </cell>
          <cell r="E128">
            <v>2528.6603847917922</v>
          </cell>
          <cell r="F128" t="str">
            <v>Purchase</v>
          </cell>
          <cell r="G128" t="str">
            <v>PER LU</v>
          </cell>
          <cell r="H128">
            <v>0.05</v>
          </cell>
          <cell r="I128" t="str">
            <v>ENTERPRISE</v>
          </cell>
          <cell r="J128" t="str">
            <v>Cows10</v>
          </cell>
          <cell r="K128" t="str">
            <v>Fuel(Business)</v>
          </cell>
        </row>
        <row r="129">
          <cell r="A129" t="str">
            <v>PurchaseCows10Fuel(Business),</v>
          </cell>
          <cell r="D129" t="str">
            <v>Fuel(Business)</v>
          </cell>
          <cell r="E129">
            <v>1011.4641539167169</v>
          </cell>
          <cell r="F129" t="str">
            <v>Purchase</v>
          </cell>
          <cell r="G129">
            <v>282.83967688998933</v>
          </cell>
          <cell r="H129">
            <v>0.06</v>
          </cell>
          <cell r="I129">
            <v>27678.171178968216</v>
          </cell>
          <cell r="J129" t="str">
            <v>Cows10</v>
          </cell>
          <cell r="K129" t="str">
            <v>Fuel(Business)</v>
          </cell>
        </row>
        <row r="130">
          <cell r="A130" t="str">
            <v>PurchaseCows10Fuel(Contractor),</v>
          </cell>
          <cell r="D130" t="str">
            <v>Fuel(Contractor)</v>
          </cell>
          <cell r="E130">
            <v>4888.7434105974653</v>
          </cell>
          <cell r="F130" t="str">
            <v>Purchase</v>
          </cell>
          <cell r="G130">
            <v>0</v>
          </cell>
          <cell r="H130">
            <v>0.06</v>
          </cell>
          <cell r="I130">
            <v>0</v>
          </cell>
          <cell r="J130" t="str">
            <v>Cows10</v>
          </cell>
          <cell r="K130" t="str">
            <v>Fuel(Contractor)</v>
          </cell>
        </row>
        <row r="131">
          <cell r="A131" t="str">
            <v>PurchaseCows10Electricity(KWh),</v>
          </cell>
          <cell r="D131" t="str">
            <v>Electricity(KWh)</v>
          </cell>
          <cell r="E131">
            <v>41524.570044375017</v>
          </cell>
          <cell r="F131" t="str">
            <v>Purchase</v>
          </cell>
          <cell r="G131">
            <v>22.665640539611125</v>
          </cell>
          <cell r="H131">
            <v>0.72</v>
          </cell>
          <cell r="I131">
            <v>2218.0179444212981</v>
          </cell>
          <cell r="J131" t="str">
            <v>Cows10</v>
          </cell>
          <cell r="K131" t="str">
            <v>Electricity(KWh)</v>
          </cell>
        </row>
        <row r="132">
          <cell r="A132" t="str">
            <v>SpCowFeed &amp; bedding</v>
          </cell>
          <cell r="D132" t="str">
            <v>Indirect CO2</v>
          </cell>
          <cell r="I132">
            <v>10686.72</v>
          </cell>
          <cell r="J132" t="str">
            <v>Cows10</v>
          </cell>
        </row>
        <row r="133">
          <cell r="A133" t="str">
            <v>Cows10Feed &amp; bedding</v>
          </cell>
          <cell r="D133" t="str">
            <v>Feed &amp; bedding</v>
          </cell>
          <cell r="E133">
            <v>92.928797091568427</v>
          </cell>
          <cell r="I133">
            <v>9905.2799999999988</v>
          </cell>
          <cell r="J133" t="str">
            <v>SpCow</v>
          </cell>
          <cell r="K133" t="str">
            <v>Cows</v>
          </cell>
          <cell r="O133" t="str">
            <v>0-12months</v>
          </cell>
        </row>
        <row r="134">
          <cell r="A134" t="str">
            <v>Cows10Fertilisers</v>
          </cell>
          <cell r="D134" t="str">
            <v>Fertilisers</v>
          </cell>
          <cell r="E134">
            <v>0</v>
          </cell>
          <cell r="F134">
            <v>65</v>
          </cell>
          <cell r="G134">
            <v>470863.62935767148</v>
          </cell>
          <cell r="H134">
            <v>0.05</v>
          </cell>
          <cell r="I134">
            <v>210934</v>
          </cell>
          <cell r="J134" t="str">
            <v>Cows10</v>
          </cell>
          <cell r="K134">
            <v>124</v>
          </cell>
          <cell r="L134">
            <v>50.74</v>
          </cell>
          <cell r="M134">
            <v>6291.76</v>
          </cell>
          <cell r="N134">
            <v>157294</v>
          </cell>
          <cell r="O134">
            <v>60</v>
          </cell>
          <cell r="P134">
            <v>35.76</v>
          </cell>
          <cell r="Q134">
            <v>2145.6</v>
          </cell>
          <cell r="R134">
            <v>53640</v>
          </cell>
        </row>
        <row r="135">
          <cell r="A135" t="str">
            <v>Cows10N</v>
          </cell>
          <cell r="D135" t="str">
            <v>N</v>
          </cell>
          <cell r="E135">
            <v>0</v>
          </cell>
          <cell r="F135">
            <v>65</v>
          </cell>
          <cell r="G135">
            <v>0</v>
          </cell>
          <cell r="H135">
            <v>0.05</v>
          </cell>
          <cell r="I135">
            <v>0</v>
          </cell>
          <cell r="J135" t="str">
            <v>Cows10</v>
          </cell>
        </row>
        <row r="136">
          <cell r="A136" t="str">
            <v>Cows10P</v>
          </cell>
          <cell r="D136" t="str">
            <v>P</v>
          </cell>
          <cell r="E136">
            <v>0</v>
          </cell>
          <cell r="F136">
            <v>15</v>
          </cell>
          <cell r="G136">
            <v>0</v>
          </cell>
          <cell r="H136">
            <v>0.06</v>
          </cell>
          <cell r="I136">
            <v>0</v>
          </cell>
          <cell r="J136" t="str">
            <v>Cows10</v>
          </cell>
          <cell r="K136">
            <v>78.71075217366608</v>
          </cell>
          <cell r="L136">
            <v>32.125984251968504</v>
          </cell>
          <cell r="M136">
            <v>28.913385826771655</v>
          </cell>
          <cell r="N136">
            <v>1.2500000000000001E-2</v>
          </cell>
          <cell r="O136">
            <v>28.447429328907663</v>
          </cell>
          <cell r="P136">
            <v>44.703103231140609</v>
          </cell>
        </row>
        <row r="137">
          <cell r="A137" t="str">
            <v>Cows10K</v>
          </cell>
          <cell r="D137" t="str">
            <v>K</v>
          </cell>
          <cell r="E137">
            <v>0</v>
          </cell>
          <cell r="F137">
            <v>10</v>
          </cell>
          <cell r="G137">
            <v>0</v>
          </cell>
          <cell r="H137">
            <v>0.06</v>
          </cell>
          <cell r="I137">
            <v>0</v>
          </cell>
          <cell r="J137" t="str">
            <v>Cows10</v>
          </cell>
        </row>
        <row r="138">
          <cell r="A138" t="str">
            <v>Cows10Ca</v>
          </cell>
          <cell r="D138" t="str">
            <v>Ca</v>
          </cell>
          <cell r="E138">
            <v>0</v>
          </cell>
          <cell r="F138">
            <v>0.6</v>
          </cell>
          <cell r="G138">
            <v>0</v>
          </cell>
          <cell r="H138">
            <v>0.72</v>
          </cell>
          <cell r="I138">
            <v>31730.281663931928</v>
          </cell>
          <cell r="J138" t="str">
            <v>Spcow12</v>
          </cell>
          <cell r="K138" t="str">
            <v>Liquid System</v>
          </cell>
          <cell r="L138" t="str">
            <v>Solid Storage</v>
          </cell>
          <cell r="M138" t="str">
            <v>Grazing</v>
          </cell>
          <cell r="N138">
            <v>1.525E-2</v>
          </cell>
          <cell r="O138" t="str">
            <v>Liquid System</v>
          </cell>
          <cell r="P138" t="str">
            <v>Solid Storage</v>
          </cell>
          <cell r="Q138" t="str">
            <v>Grazing</v>
          </cell>
        </row>
        <row r="139">
          <cell r="A139" t="str">
            <v>Cows10Total CO2 from Fertiliser</v>
          </cell>
          <cell r="D139" t="str">
            <v>Total CO2 from Fertiliser</v>
          </cell>
          <cell r="I139">
            <v>0</v>
          </cell>
          <cell r="J139" t="str">
            <v>SpCow</v>
          </cell>
          <cell r="K139" t="str">
            <v>Cows</v>
          </cell>
          <cell r="L139">
            <v>0.25</v>
          </cell>
          <cell r="M139">
            <v>0.5</v>
          </cell>
          <cell r="N139">
            <v>1.525E-2</v>
          </cell>
          <cell r="O139" t="str">
            <v>0-12months</v>
          </cell>
          <cell r="P139">
            <v>0.2</v>
          </cell>
          <cell r="Q139">
            <v>0.8</v>
          </cell>
          <cell r="R139">
            <v>0.02</v>
          </cell>
        </row>
        <row r="140">
          <cell r="A140" t="str">
            <v>Cows10Cows</v>
          </cell>
          <cell r="D140" t="str">
            <v>Methane</v>
          </cell>
          <cell r="I140">
            <v>210124.5</v>
          </cell>
          <cell r="J140" t="str">
            <v>Cows10</v>
          </cell>
          <cell r="K140" t="str">
            <v>Cows</v>
          </cell>
          <cell r="L140">
            <v>50.74</v>
          </cell>
          <cell r="M140">
            <v>6545.46</v>
          </cell>
          <cell r="N140">
            <v>163636.5</v>
          </cell>
          <cell r="O140" t="str">
            <v>0-12months</v>
          </cell>
          <cell r="P140">
            <v>35.76</v>
          </cell>
          <cell r="Q140">
            <v>1859.52</v>
          </cell>
          <cell r="R140">
            <v>46488</v>
          </cell>
        </row>
        <row r="141">
          <cell r="A141" t="str">
            <v>Cows10Methane</v>
          </cell>
          <cell r="D141" t="str">
            <v>Methane</v>
          </cell>
          <cell r="I141">
            <v>179245.5</v>
          </cell>
          <cell r="J141" t="str">
            <v>SpCow</v>
          </cell>
          <cell r="K141" t="str">
            <v>Volatisation % from excreta</v>
          </cell>
          <cell r="L141">
            <v>9796</v>
          </cell>
          <cell r="M141">
            <v>234.75414285714285</v>
          </cell>
          <cell r="N141">
            <v>140803.5</v>
          </cell>
          <cell r="O141">
            <v>43</v>
          </cell>
          <cell r="P141">
            <v>35.76</v>
          </cell>
          <cell r="Q141">
            <v>1537.6799999999998</v>
          </cell>
          <cell r="R141">
            <v>38441.999999999993</v>
          </cell>
        </row>
        <row r="142">
          <cell r="A142" t="str">
            <v>Cows10Nitrous Oxide</v>
          </cell>
          <cell r="D142" t="str">
            <v>Nitrous Oxide</v>
          </cell>
          <cell r="I142">
            <v>38163.238443159411</v>
          </cell>
          <cell r="J142" t="str">
            <v>Cows10</v>
          </cell>
          <cell r="K142">
            <v>0.2</v>
          </cell>
          <cell r="L142">
            <v>3019</v>
          </cell>
          <cell r="M142">
            <v>70.157480314960623</v>
          </cell>
          <cell r="N142">
            <v>1.2500000000000001E-2</v>
          </cell>
          <cell r="O142">
            <v>81.495628158058537</v>
          </cell>
          <cell r="P142">
            <v>128.06455853409199</v>
          </cell>
        </row>
        <row r="143">
          <cell r="A143" t="str">
            <v>Cows10Direct emissions to soil</v>
          </cell>
          <cell r="D143" t="str">
            <v>Direct emissions to soil</v>
          </cell>
          <cell r="I143">
            <v>0</v>
          </cell>
          <cell r="J143" t="str">
            <v>SpCow</v>
          </cell>
          <cell r="K143" t="str">
            <v>N fertiliser allocated to enterprise</v>
          </cell>
          <cell r="L143" t="str">
            <v>Volatisation % from N fertiliser</v>
          </cell>
          <cell r="M143" t="str">
            <v>From N fertiliser allocated to enterprise</v>
          </cell>
          <cell r="N143" t="str">
            <v>Indirect emissions: volatisation (EF4)</v>
          </cell>
          <cell r="O143" t="str">
            <v>from animals + fertiliser</v>
          </cell>
          <cell r="P143" t="str">
            <v>volatile from animals + fertiliser</v>
          </cell>
          <cell r="Q143" t="str">
            <v>GWP coefficient NO2</v>
          </cell>
          <cell r="R143" t="str">
            <v>volatile from excreta and fertiliser</v>
          </cell>
        </row>
        <row r="144">
          <cell r="A144" t="str">
            <v>Cows10</v>
          </cell>
          <cell r="D144" t="str">
            <v>Distribution of Animal Waste Management Systems used for different animal types</v>
          </cell>
          <cell r="I144">
            <v>15321.681248763925</v>
          </cell>
          <cell r="J144" t="str">
            <v>Cows10</v>
          </cell>
          <cell r="K144" t="str">
            <v>Liquid System</v>
          </cell>
          <cell r="L144" t="str">
            <v>Solid Storage</v>
          </cell>
          <cell r="M144" t="str">
            <v>Grazing</v>
          </cell>
          <cell r="N144">
            <v>1.0500000000000001E-2</v>
          </cell>
          <cell r="O144" t="str">
            <v>Liquid System</v>
          </cell>
          <cell r="P144" t="str">
            <v>Solid Storage</v>
          </cell>
          <cell r="Q144" t="str">
            <v>Grazing</v>
          </cell>
          <cell r="R144">
            <v>15321.681248763925</v>
          </cell>
        </row>
        <row r="145">
          <cell r="A145" t="str">
            <v>Cows10Distribution of Animal Waste Management Systems used for different animal types</v>
          </cell>
          <cell r="D145" t="str">
            <v>Distribution of Animal Waste Management Systems used for different animal types</v>
          </cell>
          <cell r="J145" t="str">
            <v>Cows10</v>
          </cell>
          <cell r="K145" t="str">
            <v>Liquid System</v>
          </cell>
          <cell r="L145" t="str">
            <v>Solid Storage</v>
          </cell>
          <cell r="M145" t="str">
            <v>Grazing</v>
          </cell>
          <cell r="N145">
            <v>1.0500000000000001E-2</v>
          </cell>
          <cell r="O145" t="str">
            <v>Liquid System</v>
          </cell>
          <cell r="P145" t="str">
            <v>Solid Storage</v>
          </cell>
          <cell r="Q145" t="str">
            <v>Grazing</v>
          </cell>
          <cell r="R145" t="str">
            <v>from leaching</v>
          </cell>
        </row>
        <row r="146">
          <cell r="A146" t="str">
            <v>Cows10</v>
          </cell>
          <cell r="D146" t="str">
            <v>Nitrogen excreted (Nex)</v>
          </cell>
          <cell r="I146">
            <v>68615.798428571434</v>
          </cell>
          <cell r="J146" t="str">
            <v>Cows10</v>
          </cell>
          <cell r="K146">
            <v>0.5</v>
          </cell>
          <cell r="L146">
            <v>0</v>
          </cell>
          <cell r="M146">
            <v>0.5</v>
          </cell>
          <cell r="N146">
            <v>1.0500000000000001E-2</v>
          </cell>
          <cell r="O146">
            <v>0</v>
          </cell>
          <cell r="P146">
            <v>0.2</v>
          </cell>
          <cell r="Q146">
            <v>0.8</v>
          </cell>
          <cell r="R146">
            <v>0.02</v>
          </cell>
        </row>
        <row r="147">
          <cell r="A147" t="str">
            <v>Cows10Nitrogen excreted (Nex)</v>
          </cell>
          <cell r="D147" t="str">
            <v>Nitrogen excreted (Nex)</v>
          </cell>
          <cell r="I147">
            <v>58420.750142857141</v>
          </cell>
          <cell r="J147" t="str">
            <v>Cows10</v>
          </cell>
          <cell r="K147">
            <v>79</v>
          </cell>
          <cell r="L147">
            <v>8769</v>
          </cell>
          <cell r="M147">
            <v>144.6885</v>
          </cell>
          <cell r="N147">
            <v>43117.173000000003</v>
          </cell>
          <cell r="O147">
            <v>38</v>
          </cell>
          <cell r="P147">
            <v>1634</v>
          </cell>
          <cell r="Q147">
            <v>51.354285714285709</v>
          </cell>
          <cell r="R147">
            <v>15303.577142857141</v>
          </cell>
        </row>
        <row r="148">
          <cell r="A148" t="str">
            <v>Cows10Indirect N2O emissions</v>
          </cell>
          <cell r="D148" t="str">
            <v>Indirect N2O emissions</v>
          </cell>
          <cell r="I148">
            <v>210934</v>
          </cell>
          <cell r="J148" t="str">
            <v>Cows10</v>
          </cell>
          <cell r="K148" t="str">
            <v>Volatisation % from excreta</v>
          </cell>
          <cell r="L148">
            <v>8769</v>
          </cell>
          <cell r="M148">
            <v>144.6885</v>
          </cell>
        </row>
        <row r="149">
          <cell r="A149" t="str">
            <v>Cows10Volatisation % from excreta</v>
          </cell>
          <cell r="D149" t="str">
            <v>Volatisation % from excreta</v>
          </cell>
          <cell r="I149">
            <v>48290.431532951639</v>
          </cell>
          <cell r="J149" t="str">
            <v>Cows10</v>
          </cell>
          <cell r="K149">
            <v>0.2</v>
          </cell>
          <cell r="L149">
            <v>2600.75</v>
          </cell>
          <cell r="M149" t="str">
            <v>Net liveweight</v>
          </cell>
          <cell r="N149" t="str">
            <v>KO%</v>
          </cell>
          <cell r="O149" t="str">
            <v>from animals + fertiliser</v>
          </cell>
          <cell r="P149" t="str">
            <v>volatile from animals + fertiliser</v>
          </cell>
          <cell r="Q149" t="str">
            <v>GWP coefficient NO2</v>
          </cell>
          <cell r="R149" t="str">
            <v>volatile from excreta and fertiliser</v>
          </cell>
        </row>
        <row r="150">
          <cell r="A150" t="str">
            <v>Cows10Indirect emissions: volatisation (EF4)</v>
          </cell>
          <cell r="D150" t="str">
            <v>Indirect emissions: volatisation (EF4)</v>
          </cell>
          <cell r="I150">
            <v>17636.36857589988</v>
          </cell>
          <cell r="J150" t="str">
            <v>Cows10</v>
          </cell>
          <cell r="K150" t="str">
            <v>N fertiliser allocated to enterprise</v>
          </cell>
          <cell r="L150" t="str">
            <v>Volatisation % from N fertiliser</v>
          </cell>
          <cell r="M150" t="str">
            <v>From N fertiliser allocated to enterprise</v>
          </cell>
          <cell r="N150" t="str">
            <v>Indirect emissions: volatisation (EF4)</v>
          </cell>
          <cell r="O150" t="str">
            <v>from animals + fertiliser</v>
          </cell>
          <cell r="P150" t="str">
            <v>volatile from animals + fertiliser</v>
          </cell>
          <cell r="Q150" t="str">
            <v>GWP coefficient NO2</v>
          </cell>
          <cell r="R150" t="str">
            <v>volatile from excreta and fertiliser</v>
          </cell>
        </row>
        <row r="151">
          <cell r="A151" t="str">
            <v>Cows10Volatisation from animals + fertiliser</v>
          </cell>
          <cell r="D151" t="str">
            <v>Volatisation from animals + fertiliser</v>
          </cell>
          <cell r="I151">
            <v>12178.940714285716</v>
          </cell>
          <cell r="J151" t="str">
            <v>SpCow</v>
          </cell>
          <cell r="K151" t="str">
            <v>From leaching</v>
          </cell>
          <cell r="L151" t="str">
            <v>% lost from leaching</v>
          </cell>
          <cell r="M151">
            <v>0</v>
          </cell>
          <cell r="N151" t="str">
            <v>Indirect emissions from leaching (EF5)</v>
          </cell>
          <cell r="O151" t="str">
            <v>kgN2O-N</v>
          </cell>
          <cell r="P151" t="str">
            <v>kgN2O</v>
          </cell>
          <cell r="Q151">
            <v>298</v>
          </cell>
          <cell r="R151" t="str">
            <v>from leaching</v>
          </cell>
        </row>
        <row r="152">
          <cell r="A152" t="str">
            <v>Cows10</v>
          </cell>
          <cell r="D152" t="str">
            <v>Leaching</v>
          </cell>
          <cell r="E152" t="str">
            <v>Environmental</v>
          </cell>
          <cell r="F152" t="str">
            <v>n</v>
          </cell>
          <cell r="G152" t="str">
            <v>System</v>
          </cell>
          <cell r="H152" t="str">
            <v>EwesUplandFinished[15]</v>
          </cell>
          <cell r="I152">
            <v>54947.124673038496</v>
          </cell>
          <cell r="J152" t="str">
            <v>Cows10</v>
          </cell>
          <cell r="K152" t="str">
            <v>From leaching</v>
          </cell>
          <cell r="L152" t="str">
            <v>% lost from leaching</v>
          </cell>
          <cell r="N152" t="str">
            <v>Indirect emissions from leaching (EF5)</v>
          </cell>
          <cell r="O152" t="str">
            <v>kgN2O-N</v>
          </cell>
          <cell r="P152" t="str">
            <v>kgN2O</v>
          </cell>
          <cell r="Q152">
            <v>298</v>
          </cell>
          <cell r="R152" t="str">
            <v>from leaching</v>
          </cell>
        </row>
        <row r="153">
          <cell r="A153" t="str">
            <v>Cows10Leaching</v>
          </cell>
          <cell r="D153" t="str">
            <v>Leaching</v>
          </cell>
          <cell r="E153">
            <v>40848</v>
          </cell>
          <cell r="I153">
            <v>27402.61660714286</v>
          </cell>
          <cell r="J153" t="str">
            <v>Cows10</v>
          </cell>
          <cell r="K153">
            <v>7802.25</v>
          </cell>
          <cell r="L153">
            <v>0.3</v>
          </cell>
          <cell r="N153">
            <v>2.5000000000000001E-2</v>
          </cell>
          <cell r="O153">
            <v>58.516874999999999</v>
          </cell>
          <cell r="P153">
            <v>91.955089285714294</v>
          </cell>
          <cell r="Q153">
            <v>298</v>
          </cell>
          <cell r="R153">
            <v>27402.61660714286</v>
          </cell>
          <cell r="T153" t="str">
            <v>Lu</v>
          </cell>
          <cell r="U153" t="str">
            <v>coeff lu/kg</v>
          </cell>
        </row>
        <row r="154">
          <cell r="A154" t="str">
            <v>Cows10Total N2O emissions</v>
          </cell>
          <cell r="D154" t="str">
            <v>Total N2O emissions</v>
          </cell>
          <cell r="F154" t="str">
            <v>Number</v>
          </cell>
          <cell r="G154">
            <v>548</v>
          </cell>
          <cell r="H154" t="str">
            <v>EBV's? y/n</v>
          </cell>
          <cell r="I154">
            <v>98002.30746428571</v>
          </cell>
          <cell r="J154" t="str">
            <v>Cows10</v>
          </cell>
          <cell r="K154" t="str">
            <v>Female</v>
          </cell>
          <cell r="L154" t="str">
            <v>Mated</v>
          </cell>
          <cell r="N154" t="str">
            <v>Upland</v>
          </cell>
          <cell r="O154">
            <v>70</v>
          </cell>
          <cell r="P154">
            <v>8.3999999999999991E-2</v>
          </cell>
          <cell r="R154" t="str">
            <v>current default</v>
          </cell>
          <cell r="S154">
            <v>75</v>
          </cell>
          <cell r="T154">
            <v>0.09</v>
          </cell>
          <cell r="U154">
            <v>1.1999999999999999E-3</v>
          </cell>
        </row>
        <row r="155">
          <cell r="A155" t="str">
            <v>Cows10Total methane emissions</v>
          </cell>
          <cell r="D155" t="str">
            <v>Total methane emissions</v>
          </cell>
          <cell r="F155" t="str">
            <v>BreedOfSire</v>
          </cell>
          <cell r="G155" t="str">
            <v>TX</v>
          </cell>
          <cell r="H155" t="str">
            <v>Average Cost</v>
          </cell>
          <cell r="I155">
            <v>179245.5</v>
          </cell>
          <cell r="J155" t="str">
            <v>Cows10</v>
          </cell>
          <cell r="K155" t="str">
            <v>perkgNetLiveweight</v>
          </cell>
          <cell r="M155" t="str">
            <v>Net liveweight</v>
          </cell>
          <cell r="N155" t="str">
            <v>KO%</v>
          </cell>
          <cell r="O155">
            <v>55</v>
          </cell>
          <cell r="P155">
            <v>6.5999999999999989E-2</v>
          </cell>
          <cell r="R155" t="str">
            <v>Scottish Blackface</v>
          </cell>
          <cell r="S155">
            <v>54</v>
          </cell>
          <cell r="T155">
            <v>6.4799999999999996E-2</v>
          </cell>
        </row>
        <row r="156">
          <cell r="A156" t="str">
            <v>Cows10Total energy emissions</v>
          </cell>
          <cell r="D156" t="str">
            <v>Total energy emissions</v>
          </cell>
          <cell r="F156" t="str">
            <v>BreedOfDam</v>
          </cell>
          <cell r="G156" t="str">
            <v>Mule</v>
          </cell>
          <cell r="I156">
            <v>39801.469123389514</v>
          </cell>
          <cell r="J156" t="str">
            <v>Cows10</v>
          </cell>
          <cell r="K156" t="str">
            <v>perkgNetLiveweight</v>
          </cell>
          <cell r="M156" t="str">
            <v>Net liveweight</v>
          </cell>
          <cell r="N156" t="str">
            <v>KO%</v>
          </cell>
          <cell r="R156" t="str">
            <v>North Country Cheviot</v>
          </cell>
          <cell r="S156">
            <v>60</v>
          </cell>
          <cell r="T156">
            <v>7.1999999999999995E-2</v>
          </cell>
        </row>
        <row r="157">
          <cell r="A157" t="str">
            <v>Cows10Total CO2 emissions</v>
          </cell>
          <cell r="D157" t="str">
            <v>Total CO2 emissions</v>
          </cell>
          <cell r="F157" t="str">
            <v>EweLambs</v>
          </cell>
          <cell r="G157">
            <v>0</v>
          </cell>
          <cell r="I157">
            <v>317049.27658767521</v>
          </cell>
          <cell r="J157" t="str">
            <v>sH12</v>
          </cell>
          <cell r="K157" t="str">
            <v>Female</v>
          </cell>
          <cell r="M157">
            <v>30010</v>
          </cell>
          <cell r="N157" t="str">
            <v>Over-ride</v>
          </cell>
          <cell r="R157" t="str">
            <v>South Country Cheviot</v>
          </cell>
          <cell r="S157">
            <v>48</v>
          </cell>
          <cell r="T157">
            <v>5.7599999999999998E-2</v>
          </cell>
        </row>
        <row r="158">
          <cell r="A158" t="str">
            <v>EnterpriseSh11</v>
          </cell>
          <cell r="D158" t="str">
            <v>Sh11</v>
          </cell>
          <cell r="E158" t="str">
            <v>Environmental</v>
          </cell>
          <cell r="F158" t="str">
            <v>Barren</v>
          </cell>
          <cell r="G158">
            <v>12</v>
          </cell>
          <cell r="H158" t="str">
            <v>EwesUplandFinished[15]</v>
          </cell>
          <cell r="J158" t="str">
            <v>Sh11</v>
          </cell>
          <cell r="K158" t="str">
            <v>01</v>
          </cell>
          <cell r="L158" t="str">
            <v>Ewe</v>
          </cell>
          <cell r="N158" t="str">
            <v>Default Ewe Weights:</v>
          </cell>
          <cell r="P158" t="str">
            <v>Lu</v>
          </cell>
          <cell r="R158" t="str">
            <v>Greyface</v>
          </cell>
          <cell r="S158">
            <v>70</v>
          </cell>
          <cell r="T158">
            <v>8.3999999999999991E-2</v>
          </cell>
        </row>
        <row r="159">
          <cell r="A159" t="str">
            <v>EnterpriseSheep10</v>
          </cell>
          <cell r="D159" t="str">
            <v>Sheep10</v>
          </cell>
          <cell r="E159" t="str">
            <v>Environmental</v>
          </cell>
          <cell r="F159" t="str">
            <v>n</v>
          </cell>
          <cell r="G159" t="str">
            <v>System</v>
          </cell>
          <cell r="H159" t="str">
            <v>EwesUplandFinished[15]</v>
          </cell>
          <cell r="J159" t="str">
            <v>Sheep10</v>
          </cell>
          <cell r="K159" t="str">
            <v>01</v>
          </cell>
          <cell r="L159" t="str">
            <v>Ewe</v>
          </cell>
          <cell r="N159" t="str">
            <v>Default Ewe Weights:</v>
          </cell>
          <cell r="O159">
            <v>75</v>
          </cell>
          <cell r="P159" t="str">
            <v>Lu</v>
          </cell>
          <cell r="Q159" t="str">
            <v>Ewe Body Weight Guide</v>
          </cell>
          <cell r="R159" t="str">
            <v>Mule</v>
          </cell>
          <cell r="S159">
            <v>73</v>
          </cell>
          <cell r="T159" t="str">
            <v>Lu</v>
          </cell>
          <cell r="U159" t="str">
            <v>coeff lu/kg</v>
          </cell>
        </row>
        <row r="160">
          <cell r="A160" t="str">
            <v>Sheep1075,40118</v>
          </cell>
          <cell r="D160" t="str">
            <v>Year Starts</v>
          </cell>
          <cell r="E160">
            <v>40118</v>
          </cell>
          <cell r="F160" t="str">
            <v>Number</v>
          </cell>
          <cell r="G160">
            <v>554</v>
          </cell>
          <cell r="H160" t="str">
            <v>EBV's? y/n</v>
          </cell>
          <cell r="I160" t="str">
            <v>N</v>
          </cell>
          <cell r="J160" t="str">
            <v>Sheep10</v>
          </cell>
          <cell r="K160" t="str">
            <v>Female</v>
          </cell>
          <cell r="L160" t="str">
            <v>Mated</v>
          </cell>
          <cell r="M160">
            <v>80</v>
          </cell>
          <cell r="N160" t="str">
            <v>Lowland</v>
          </cell>
          <cell r="O160">
            <v>75</v>
          </cell>
          <cell r="P160">
            <v>0.09</v>
          </cell>
          <cell r="Q160" t="str">
            <v>Ewe Body Weight Guide</v>
          </cell>
          <cell r="R160" t="str">
            <v>current default</v>
          </cell>
          <cell r="S160">
            <v>75</v>
          </cell>
          <cell r="T160" t="str">
            <v>Lu</v>
          </cell>
          <cell r="U160" t="str">
            <v>coeff lu/kg</v>
          </cell>
        </row>
        <row r="161">
          <cell r="A161" t="str">
            <v>NumberSheep10FemaleMated70,</v>
          </cell>
          <cell r="D161" t="str">
            <v>Ewes to Tup</v>
          </cell>
          <cell r="E161">
            <v>0</v>
          </cell>
          <cell r="F161" t="str">
            <v>Number</v>
          </cell>
          <cell r="G161">
            <v>550</v>
          </cell>
          <cell r="H161" t="str">
            <v>EBV's? y/n</v>
          </cell>
          <cell r="I161" t="str">
            <v>N</v>
          </cell>
          <cell r="J161" t="str">
            <v>Sheep10</v>
          </cell>
          <cell r="K161" t="str">
            <v>Female</v>
          </cell>
          <cell r="L161" t="str">
            <v>Mated</v>
          </cell>
          <cell r="M161" t="str">
            <v>ewe</v>
          </cell>
          <cell r="N161" t="str">
            <v>Upland</v>
          </cell>
          <cell r="O161">
            <v>70</v>
          </cell>
          <cell r="P161">
            <v>8.3999999999999991E-2</v>
          </cell>
          <cell r="R161" t="str">
            <v>current default</v>
          </cell>
          <cell r="S161">
            <v>75</v>
          </cell>
          <cell r="T161">
            <v>0.09</v>
          </cell>
          <cell r="U161">
            <v>1.1999999999999999E-3</v>
          </cell>
        </row>
        <row r="162">
          <cell r="A162" t="str">
            <v>BreedOfSireSheep1055,</v>
          </cell>
          <cell r="D162" t="str">
            <v>Ram</v>
          </cell>
          <cell r="E162">
            <v>41091</v>
          </cell>
          <cell r="F162" t="str">
            <v>BreedOfSire</v>
          </cell>
          <cell r="G162" t="str">
            <v>TX</v>
          </cell>
          <cell r="H162" t="str">
            <v>Average Cost</v>
          </cell>
          <cell r="I162">
            <v>400</v>
          </cell>
          <cell r="J162" t="str">
            <v>Sheep10</v>
          </cell>
          <cell r="K162" t="str">
            <v>Female</v>
          </cell>
          <cell r="L162" t="str">
            <v>Breeding</v>
          </cell>
          <cell r="M162" t="str">
            <v>ewe</v>
          </cell>
          <cell r="N162" t="str">
            <v>Ewe Weight</v>
          </cell>
          <cell r="O162">
            <v>55</v>
          </cell>
          <cell r="P162">
            <v>6.5999999999999989E-2</v>
          </cell>
          <cell r="R162" t="str">
            <v>Scottish Blackface</v>
          </cell>
          <cell r="S162">
            <v>54</v>
          </cell>
          <cell r="T162">
            <v>6.4799999999999996E-2</v>
          </cell>
        </row>
        <row r="163">
          <cell r="A163" t="str">
            <v>BreedOfDamSheep10,</v>
          </cell>
          <cell r="D163" t="str">
            <v>Ewe</v>
          </cell>
          <cell r="E163">
            <v>0</v>
          </cell>
          <cell r="F163" t="str">
            <v>BreedOfDam</v>
          </cell>
          <cell r="G163" t="str">
            <v>Mule</v>
          </cell>
          <cell r="H163">
            <v>0</v>
          </cell>
          <cell r="I163">
            <v>0</v>
          </cell>
          <cell r="J163" t="str">
            <v>Sheep10</v>
          </cell>
          <cell r="K163" t="str">
            <v>Female</v>
          </cell>
          <cell r="L163" t="str">
            <v>Replacement</v>
          </cell>
          <cell r="N163" t="str">
            <v>Ewe Weight</v>
          </cell>
          <cell r="R163" t="str">
            <v>North Country Cheviot</v>
          </cell>
          <cell r="S163">
            <v>60</v>
          </cell>
          <cell r="T163">
            <v>7.1999999999999995E-2</v>
          </cell>
        </row>
        <row r="164">
          <cell r="A164" t="str">
            <v>EweLambsSheep10Female,</v>
          </cell>
          <cell r="D164" t="str">
            <v>DeathBefore</v>
          </cell>
          <cell r="E164">
            <v>40940</v>
          </cell>
          <cell r="F164" t="str">
            <v>EweLambs</v>
          </cell>
          <cell r="G164">
            <v>0</v>
          </cell>
          <cell r="I164">
            <v>210.00000000000006</v>
          </cell>
          <cell r="J164" t="str">
            <v>Sheep10</v>
          </cell>
          <cell r="K164" t="str">
            <v>Female</v>
          </cell>
          <cell r="L164" t="str">
            <v>Barren</v>
          </cell>
          <cell r="N164" t="str">
            <v>Over-ride</v>
          </cell>
          <cell r="R164" t="str">
            <v>South Country Cheviot</v>
          </cell>
          <cell r="S164">
            <v>48</v>
          </cell>
          <cell r="T164">
            <v>5.7599999999999998E-2</v>
          </cell>
        </row>
        <row r="165">
          <cell r="A165" t="str">
            <v>BarrenSheep10FemaleBarren,</v>
          </cell>
          <cell r="D165" t="str">
            <v>DeathAfter</v>
          </cell>
          <cell r="E165">
            <v>41153</v>
          </cell>
          <cell r="F165" t="str">
            <v>Barren</v>
          </cell>
          <cell r="G165">
            <v>21</v>
          </cell>
          <cell r="I165">
            <v>630.00000000000011</v>
          </cell>
          <cell r="J165" t="str">
            <v>Sheep10</v>
          </cell>
          <cell r="K165" t="str">
            <v>Female</v>
          </cell>
          <cell r="L165" t="str">
            <v>Barren</v>
          </cell>
          <cell r="N165" t="str">
            <v>0.084</v>
          </cell>
          <cell r="O165" t="str">
            <v>Lu</v>
          </cell>
          <cell r="R165" t="str">
            <v>Greyface</v>
          </cell>
          <cell r="S165">
            <v>70</v>
          </cell>
          <cell r="T165">
            <v>8.3999999999999991E-2</v>
          </cell>
        </row>
        <row r="166">
          <cell r="A166" t="str">
            <v>Sheep10Lu,</v>
          </cell>
          <cell r="D166" t="str">
            <v>Ewes to Tup</v>
          </cell>
          <cell r="E166">
            <v>40483</v>
          </cell>
          <cell r="F166" t="str">
            <v>Open</v>
          </cell>
          <cell r="G166">
            <v>555</v>
          </cell>
          <cell r="H166">
            <v>47175</v>
          </cell>
          <cell r="I166">
            <v>38850.000000000007</v>
          </cell>
          <cell r="J166" t="str">
            <v>Sheep10</v>
          </cell>
          <cell r="K166" t="str">
            <v>Female</v>
          </cell>
          <cell r="L166" t="str">
            <v>Breeding</v>
          </cell>
          <cell r="M166">
            <v>85</v>
          </cell>
          <cell r="N166" t="str">
            <v>0.084</v>
          </cell>
          <cell r="O166" t="str">
            <v>Lu</v>
          </cell>
          <cell r="R166" t="str">
            <v>Mule</v>
          </cell>
          <cell r="S166">
            <v>73</v>
          </cell>
          <cell r="T166">
            <v>8.7599999999999997E-2</v>
          </cell>
        </row>
        <row r="167">
          <cell r="A167" t="str">
            <v>OpenSheep10Female60,40118</v>
          </cell>
          <cell r="D167" t="str">
            <v>Ewes to Tup</v>
          </cell>
          <cell r="E167">
            <v>40118</v>
          </cell>
          <cell r="F167" t="str">
            <v>Open</v>
          </cell>
          <cell r="G167">
            <v>550</v>
          </cell>
          <cell r="H167">
            <v>33000</v>
          </cell>
          <cell r="I167">
            <v>38500.000000000007</v>
          </cell>
          <cell r="J167" t="str">
            <v>Sheep10</v>
          </cell>
          <cell r="K167" t="str">
            <v>Female</v>
          </cell>
          <cell r="L167" t="str">
            <v>Breeding</v>
          </cell>
          <cell r="M167">
            <v>60</v>
          </cell>
          <cell r="N167">
            <v>70.000000000000014</v>
          </cell>
          <cell r="O167" t="str">
            <v>default open value &amp; weight</v>
          </cell>
          <cell r="R167" t="str">
            <v>Scottish Halfbred</v>
          </cell>
          <cell r="S167">
            <v>77</v>
          </cell>
          <cell r="T167">
            <v>9.2399999999999996E-2</v>
          </cell>
        </row>
        <row r="168">
          <cell r="A168" t="str">
            <v>PurchaseSheep10FemaleBreeding,0</v>
          </cell>
          <cell r="D168" t="str">
            <v>Replacements(to lamb this year)</v>
          </cell>
          <cell r="E168">
            <v>0</v>
          </cell>
          <cell r="F168" t="str">
            <v>Purchase</v>
          </cell>
          <cell r="G168">
            <v>0</v>
          </cell>
          <cell r="H168">
            <v>0</v>
          </cell>
          <cell r="I168">
            <v>0</v>
          </cell>
          <cell r="J168" t="str">
            <v>Sheep10</v>
          </cell>
          <cell r="K168" t="str">
            <v>Female</v>
          </cell>
          <cell r="L168" t="str">
            <v>Breeding</v>
          </cell>
          <cell r="N168">
            <v>70.000000000000014</v>
          </cell>
          <cell r="R168" t="str">
            <v>from MLC "Feeding the Ewe"</v>
          </cell>
        </row>
        <row r="169">
          <cell r="A169" t="str">
            <v>TransInSheep10FemaleBreeding,0</v>
          </cell>
          <cell r="D169" t="str">
            <v>Replacements(to lamb next year)</v>
          </cell>
          <cell r="E169">
            <v>0</v>
          </cell>
          <cell r="F169" t="str">
            <v>TransIn</v>
          </cell>
          <cell r="G169">
            <v>0</v>
          </cell>
          <cell r="H169">
            <v>0</v>
          </cell>
          <cell r="I169">
            <v>0</v>
          </cell>
          <cell r="J169" t="str">
            <v>Sheep10</v>
          </cell>
          <cell r="K169" t="str">
            <v>Female</v>
          </cell>
          <cell r="L169" t="str">
            <v>Breeding</v>
          </cell>
          <cell r="M169">
            <v>0</v>
          </cell>
          <cell r="N169">
            <v>70.000000000000014</v>
          </cell>
        </row>
        <row r="170">
          <cell r="A170" t="str">
            <v>PurchaseSheep10FemaleReplacement,40330</v>
          </cell>
          <cell r="D170" t="str">
            <v>Replacements(to lamb next year)</v>
          </cell>
          <cell r="E170">
            <v>40330</v>
          </cell>
          <cell r="F170" t="str">
            <v>Purchase</v>
          </cell>
          <cell r="G170">
            <v>157</v>
          </cell>
          <cell r="H170">
            <v>10205</v>
          </cell>
          <cell r="I170">
            <v>10990.000000000002</v>
          </cell>
          <cell r="J170" t="str">
            <v>Sheep10</v>
          </cell>
          <cell r="K170" t="str">
            <v>Female</v>
          </cell>
          <cell r="L170" t="str">
            <v>Replacement</v>
          </cell>
          <cell r="M170">
            <v>81</v>
          </cell>
          <cell r="N170">
            <v>70.000000000000014</v>
          </cell>
          <cell r="O170" t="str">
            <v>default close value &amp; weight</v>
          </cell>
        </row>
        <row r="171">
          <cell r="A171" t="str">
            <v>DeathSheep10FemaleBefore,40210</v>
          </cell>
          <cell r="D171" t="str">
            <v>DeathBefore</v>
          </cell>
          <cell r="E171">
            <v>40210</v>
          </cell>
          <cell r="F171" t="str">
            <v>Death</v>
          </cell>
          <cell r="G171">
            <v>4</v>
          </cell>
          <cell r="I171">
            <v>280.00000000000006</v>
          </cell>
          <cell r="J171" t="str">
            <v>Sheep10</v>
          </cell>
          <cell r="K171" t="str">
            <v>Female</v>
          </cell>
          <cell r="L171" t="str">
            <v>Before</v>
          </cell>
          <cell r="N171">
            <v>70.000000000000014</v>
          </cell>
        </row>
        <row r="172">
          <cell r="A172" t="str">
            <v>DeathSheep10FemaleAfter,40360</v>
          </cell>
          <cell r="D172" t="str">
            <v>DeathAfter</v>
          </cell>
          <cell r="E172">
            <v>40360</v>
          </cell>
          <cell r="F172" t="str">
            <v>Death</v>
          </cell>
          <cell r="G172">
            <v>11</v>
          </cell>
          <cell r="H172">
            <v>0</v>
          </cell>
          <cell r="I172">
            <v>770.00000000000011</v>
          </cell>
          <cell r="J172" t="str">
            <v>Sheep10</v>
          </cell>
          <cell r="K172" t="str">
            <v>Female</v>
          </cell>
          <cell r="L172" t="str">
            <v>After</v>
          </cell>
          <cell r="N172">
            <v>70.000000000000014</v>
          </cell>
        </row>
        <row r="173">
          <cell r="A173" t="str">
            <v>SaleSheep10FemaleBreeding,0</v>
          </cell>
          <cell r="D173" t="str">
            <v>Breeding Sheep</v>
          </cell>
          <cell r="E173">
            <v>0</v>
          </cell>
          <cell r="F173" t="str">
            <v>Sale</v>
          </cell>
          <cell r="G173">
            <v>0</v>
          </cell>
          <cell r="H173">
            <v>0</v>
          </cell>
          <cell r="I173">
            <v>0</v>
          </cell>
          <cell r="J173" t="str">
            <v>Sheep10</v>
          </cell>
          <cell r="K173" t="str">
            <v>Female</v>
          </cell>
          <cell r="L173" t="str">
            <v>Breeding</v>
          </cell>
          <cell r="M173">
            <v>300</v>
          </cell>
          <cell r="N173">
            <v>70.000000000000014</v>
          </cell>
          <cell r="O173" t="str">
            <v>default open value &amp; weight</v>
          </cell>
        </row>
        <row r="174">
          <cell r="A174" t="str">
            <v>TransOutSheep10FemaleBreeding,0</v>
          </cell>
          <cell r="D174" t="str">
            <v>to early flock</v>
          </cell>
          <cell r="E174">
            <v>0</v>
          </cell>
          <cell r="F174" t="str">
            <v>TransOut</v>
          </cell>
          <cell r="G174">
            <v>0</v>
          </cell>
          <cell r="H174">
            <v>0</v>
          </cell>
          <cell r="I174">
            <v>0</v>
          </cell>
          <cell r="J174" t="str">
            <v>Sheep10</v>
          </cell>
          <cell r="K174" t="str">
            <v>Female</v>
          </cell>
          <cell r="L174" t="str">
            <v>Breeding</v>
          </cell>
          <cell r="N174">
            <v>70.000000000000014</v>
          </cell>
        </row>
        <row r="175">
          <cell r="A175" t="str">
            <v>SaleSheep10FemaleDisposal,40330</v>
          </cell>
          <cell r="D175" t="str">
            <v>Cull Ewes</v>
          </cell>
          <cell r="E175">
            <v>40330</v>
          </cell>
          <cell r="F175" t="str">
            <v>Sale</v>
          </cell>
          <cell r="G175">
            <v>142</v>
          </cell>
          <cell r="H175">
            <v>8236</v>
          </cell>
          <cell r="I175">
            <v>9940.0000000000018</v>
          </cell>
          <cell r="J175" t="str">
            <v>Sheep10</v>
          </cell>
          <cell r="K175" t="str">
            <v>Female</v>
          </cell>
          <cell r="L175" t="str">
            <v>Disposal</v>
          </cell>
          <cell r="M175">
            <v>0</v>
          </cell>
          <cell r="N175">
            <v>70.000000000000014</v>
          </cell>
        </row>
        <row r="176">
          <cell r="A176" t="str">
            <v>TransOutSheep10FemaleDisposal,0</v>
          </cell>
          <cell r="D176" t="str">
            <v>retained for fattening</v>
          </cell>
          <cell r="E176">
            <v>0</v>
          </cell>
          <cell r="F176" t="str">
            <v>TransOut</v>
          </cell>
          <cell r="G176">
            <v>0</v>
          </cell>
          <cell r="H176">
            <v>0</v>
          </cell>
          <cell r="I176">
            <v>0</v>
          </cell>
          <cell r="J176" t="str">
            <v>Sheep10</v>
          </cell>
          <cell r="K176" t="str">
            <v>Female</v>
          </cell>
          <cell r="L176" t="str">
            <v>Disposal</v>
          </cell>
          <cell r="M176">
            <v>85</v>
          </cell>
          <cell r="N176">
            <v>70.000000000000014</v>
          </cell>
          <cell r="O176" t="str">
            <v>default close value &amp; weight</v>
          </cell>
        </row>
        <row r="177">
          <cell r="A177" t="str">
            <v>CloseSheep10Female60,40544</v>
          </cell>
          <cell r="D177" t="str">
            <v>Closing Values from default</v>
          </cell>
          <cell r="E177">
            <v>40544</v>
          </cell>
          <cell r="F177" t="str">
            <v>Close</v>
          </cell>
          <cell r="G177">
            <v>550</v>
          </cell>
          <cell r="H177">
            <v>33000</v>
          </cell>
          <cell r="I177">
            <v>38500</v>
          </cell>
          <cell r="J177" t="str">
            <v>Sheep10</v>
          </cell>
          <cell r="K177" t="str">
            <v>Female</v>
          </cell>
          <cell r="M177">
            <v>60</v>
          </cell>
          <cell r="N177">
            <v>70.000000000000014</v>
          </cell>
          <cell r="O177" t="str">
            <v>default close value &amp; weight</v>
          </cell>
        </row>
        <row r="178">
          <cell r="A178" t="str">
            <v>AverageFemaleNoSheep10,</v>
          </cell>
          <cell r="D178" t="str">
            <v>Rams</v>
          </cell>
          <cell r="F178" t="str">
            <v>AverageFemaleNo</v>
          </cell>
          <cell r="G178">
            <v>549.64788732394368</v>
          </cell>
          <cell r="J178" t="str">
            <v>Sheep10</v>
          </cell>
        </row>
        <row r="179">
          <cell r="A179" t="str">
            <v>Sheep10,</v>
          </cell>
          <cell r="D179" t="str">
            <v>Rams</v>
          </cell>
          <cell r="E179">
            <v>40483</v>
          </cell>
          <cell r="F179" t="str">
            <v>Open</v>
          </cell>
          <cell r="G179">
            <v>0</v>
          </cell>
          <cell r="H179">
            <v>9000</v>
          </cell>
          <cell r="I179">
            <v>3000</v>
          </cell>
          <cell r="J179" t="str">
            <v>Sheep10</v>
          </cell>
          <cell r="K179" t="str">
            <v>Progeny</v>
          </cell>
          <cell r="L179" t="str">
            <v>PercentPureBredLamb</v>
          </cell>
          <cell r="M179">
            <v>300</v>
          </cell>
          <cell r="N179">
            <v>100</v>
          </cell>
          <cell r="O179" t="str">
            <v>default open value &amp; weight</v>
          </cell>
        </row>
        <row r="180">
          <cell r="A180" t="str">
            <v>OpenSheep10Male300,40118</v>
          </cell>
          <cell r="D180" t="str">
            <v>RamsOpen</v>
          </cell>
          <cell r="E180">
            <v>40118</v>
          </cell>
          <cell r="F180" t="str">
            <v>Open</v>
          </cell>
          <cell r="G180">
            <v>30</v>
          </cell>
          <cell r="H180">
            <v>9000</v>
          </cell>
          <cell r="I180">
            <v>3000</v>
          </cell>
          <cell r="J180" t="str">
            <v>Sheep10</v>
          </cell>
          <cell r="K180" t="str">
            <v>Male</v>
          </cell>
          <cell r="L180" t="str">
            <v>AtFoot</v>
          </cell>
          <cell r="M180">
            <v>300</v>
          </cell>
          <cell r="N180">
            <v>100</v>
          </cell>
          <cell r="O180" t="str">
            <v>default open value &amp; weight</v>
          </cell>
        </row>
        <row r="181">
          <cell r="A181" t="str">
            <v>PurchaseSheep10Male,40422</v>
          </cell>
          <cell r="D181" t="str">
            <v>RamsPurchase</v>
          </cell>
          <cell r="E181">
            <v>40422</v>
          </cell>
          <cell r="F181" t="str">
            <v>Purchase</v>
          </cell>
          <cell r="G181">
            <v>3</v>
          </cell>
          <cell r="H181">
            <v>1050</v>
          </cell>
          <cell r="I181">
            <v>300</v>
          </cell>
          <cell r="J181" t="str">
            <v>Sheep10</v>
          </cell>
          <cell r="K181" t="str">
            <v>Male</v>
          </cell>
          <cell r="L181" t="str">
            <v>AtFoot</v>
          </cell>
        </row>
        <row r="182">
          <cell r="A182" t="str">
            <v>SaleSheep10Male,40238</v>
          </cell>
          <cell r="D182" t="str">
            <v>RamsSale</v>
          </cell>
          <cell r="E182">
            <v>40238</v>
          </cell>
          <cell r="F182" t="str">
            <v>Sale</v>
          </cell>
          <cell r="G182">
            <v>3</v>
          </cell>
          <cell r="H182">
            <v>750</v>
          </cell>
          <cell r="I182">
            <v>300</v>
          </cell>
          <cell r="J182" t="str">
            <v>Sheep10</v>
          </cell>
          <cell r="K182" t="str">
            <v>Male</v>
          </cell>
          <cell r="L182" t="str">
            <v>AtFoot</v>
          </cell>
        </row>
        <row r="183">
          <cell r="A183" t="str">
            <v>DeathSheep10Male,0</v>
          </cell>
          <cell r="D183" t="str">
            <v>Death</v>
          </cell>
          <cell r="E183">
            <v>0</v>
          </cell>
          <cell r="F183" t="str">
            <v>Death</v>
          </cell>
          <cell r="G183">
            <v>0</v>
          </cell>
          <cell r="H183">
            <v>9000</v>
          </cell>
          <cell r="I183">
            <v>0</v>
          </cell>
          <cell r="J183" t="str">
            <v>Sheep10</v>
          </cell>
          <cell r="K183" t="str">
            <v>Male</v>
          </cell>
          <cell r="L183" t="str">
            <v>AtFoot</v>
          </cell>
          <cell r="M183">
            <v>300</v>
          </cell>
          <cell r="N183">
            <v>100</v>
          </cell>
          <cell r="O183" t="str">
            <v>default close value &amp; weight</v>
          </cell>
        </row>
        <row r="184">
          <cell r="A184" t="str">
            <v>CloseSheep10Male300,40544</v>
          </cell>
          <cell r="D184" t="str">
            <v>RamsClose</v>
          </cell>
          <cell r="E184">
            <v>40544</v>
          </cell>
          <cell r="F184" t="str">
            <v>Close</v>
          </cell>
          <cell r="G184">
            <v>30</v>
          </cell>
          <cell r="H184">
            <v>9000</v>
          </cell>
          <cell r="I184">
            <v>3000</v>
          </cell>
          <cell r="J184" t="str">
            <v>Sheep10</v>
          </cell>
          <cell r="K184" t="str">
            <v>Male</v>
          </cell>
          <cell r="L184" t="str">
            <v>AtFoot</v>
          </cell>
          <cell r="M184">
            <v>300</v>
          </cell>
          <cell r="N184">
            <v>100</v>
          </cell>
          <cell r="O184" t="str">
            <v>default close value &amp; weight</v>
          </cell>
        </row>
        <row r="185">
          <cell r="A185" t="str">
            <v>Sheep10,</v>
          </cell>
          <cell r="D185" t="str">
            <v>Lambs</v>
          </cell>
          <cell r="E185">
            <v>0</v>
          </cell>
          <cell r="F185" t="str">
            <v>Purchase</v>
          </cell>
          <cell r="G185">
            <v>0.1</v>
          </cell>
          <cell r="H185">
            <v>0</v>
          </cell>
          <cell r="I185">
            <v>0</v>
          </cell>
          <cell r="J185" t="str">
            <v>Sheep10</v>
          </cell>
          <cell r="K185" t="str">
            <v>Progeny</v>
          </cell>
          <cell r="L185" t="str">
            <v>PercentPureBredLamb</v>
          </cell>
        </row>
        <row r="186">
          <cell r="A186" t="str">
            <v>Sheep10ProgenyPercentPureBredLamb,</v>
          </cell>
          <cell r="D186" t="str">
            <v>Percentage Breed Pure</v>
          </cell>
          <cell r="E186">
            <v>0</v>
          </cell>
          <cell r="F186" t="str">
            <v>TransIn</v>
          </cell>
          <cell r="G186">
            <v>0</v>
          </cell>
          <cell r="H186">
            <v>0</v>
          </cell>
          <cell r="I186">
            <v>0</v>
          </cell>
          <cell r="J186" t="str">
            <v>Sheep10</v>
          </cell>
          <cell r="K186" t="str">
            <v>Progeny</v>
          </cell>
          <cell r="L186" t="str">
            <v>PercentPureBredLamb</v>
          </cell>
          <cell r="M186">
            <v>5</v>
          </cell>
          <cell r="N186">
            <v>5</v>
          </cell>
          <cell r="O186" t="str">
            <v>default open value &amp; weight</v>
          </cell>
        </row>
        <row r="187">
          <cell r="A187" t="str">
            <v>OpenSheep10ProgenyAtFootdefault open value &amp; weight,40118</v>
          </cell>
          <cell r="D187" t="str">
            <v>Open Lambs AtFoot</v>
          </cell>
          <cell r="E187">
            <v>40118</v>
          </cell>
          <cell r="F187" t="str">
            <v>Open</v>
          </cell>
          <cell r="G187">
            <v>0</v>
          </cell>
          <cell r="H187">
            <v>0</v>
          </cell>
          <cell r="I187">
            <v>0</v>
          </cell>
          <cell r="J187" t="str">
            <v>Sheep10</v>
          </cell>
          <cell r="K187" t="str">
            <v>Progeny</v>
          </cell>
          <cell r="L187" t="str">
            <v>AtFoot</v>
          </cell>
          <cell r="M187">
            <v>5</v>
          </cell>
          <cell r="N187">
            <v>5</v>
          </cell>
          <cell r="O187" t="str">
            <v>default open value &amp; weight</v>
          </cell>
        </row>
        <row r="188">
          <cell r="A188" t="str">
            <v>SaleSheep10ProgenyAtFoot,0</v>
          </cell>
          <cell r="D188" t="str">
            <v>Sale Lambs at Foot</v>
          </cell>
          <cell r="E188">
            <v>0</v>
          </cell>
          <cell r="F188" t="str">
            <v>Sale</v>
          </cell>
          <cell r="G188">
            <v>0</v>
          </cell>
          <cell r="H188">
            <v>0</v>
          </cell>
          <cell r="I188">
            <v>0</v>
          </cell>
          <cell r="J188" t="str">
            <v>Sheep10</v>
          </cell>
          <cell r="K188" t="str">
            <v>Progeny</v>
          </cell>
          <cell r="L188" t="str">
            <v>AtFoot</v>
          </cell>
        </row>
        <row r="189">
          <cell r="A189" t="str">
            <v>TransOutSheep10ProgenyAtFoot,0</v>
          </cell>
          <cell r="D189" t="str">
            <v>Purchase Lambs at foot</v>
          </cell>
          <cell r="E189">
            <v>0</v>
          </cell>
          <cell r="F189" t="str">
            <v>TransOut</v>
          </cell>
          <cell r="G189">
            <v>0</v>
          </cell>
          <cell r="H189">
            <v>0</v>
          </cell>
          <cell r="I189">
            <v>0</v>
          </cell>
          <cell r="J189" t="str">
            <v>Sheep10</v>
          </cell>
          <cell r="K189" t="str">
            <v>Progeny</v>
          </cell>
          <cell r="L189" t="str">
            <v>AtFoot</v>
          </cell>
        </row>
        <row r="190">
          <cell r="A190" t="str">
            <v>PurchaseSheep10ProgenyAtFoot,0</v>
          </cell>
          <cell r="D190" t="str">
            <v>Purchase Lambs at foot</v>
          </cell>
          <cell r="E190">
            <v>0</v>
          </cell>
          <cell r="F190" t="str">
            <v>Purchase</v>
          </cell>
          <cell r="G190">
            <v>0</v>
          </cell>
          <cell r="H190">
            <v>0</v>
          </cell>
          <cell r="I190">
            <v>0</v>
          </cell>
          <cell r="J190" t="str">
            <v>Sheep10</v>
          </cell>
          <cell r="K190" t="str">
            <v>Progeny</v>
          </cell>
          <cell r="L190" t="str">
            <v>AtFoot</v>
          </cell>
        </row>
        <row r="191">
          <cell r="A191" t="str">
            <v>TransInSheep10ProgenyAtFoot,0</v>
          </cell>
          <cell r="D191" t="str">
            <v>Purchase FosterProgeny</v>
          </cell>
          <cell r="E191">
            <v>0</v>
          </cell>
          <cell r="F191" t="str">
            <v>TransIn</v>
          </cell>
          <cell r="G191">
            <v>0</v>
          </cell>
          <cell r="H191">
            <v>0</v>
          </cell>
          <cell r="I191">
            <v>0</v>
          </cell>
          <cell r="J191" t="str">
            <v>Sheep10</v>
          </cell>
          <cell r="K191" t="str">
            <v>Progeny</v>
          </cell>
          <cell r="L191" t="str">
            <v>AtFoot</v>
          </cell>
        </row>
        <row r="192">
          <cell r="A192" t="str">
            <v>PurchaseSheep10ProgenyFoster,0</v>
          </cell>
          <cell r="D192" t="str">
            <v>Purchase FosterProgeny</v>
          </cell>
          <cell r="E192">
            <v>0</v>
          </cell>
          <cell r="F192" t="str">
            <v>Purchase</v>
          </cell>
          <cell r="G192">
            <v>0</v>
          </cell>
          <cell r="H192">
            <v>0</v>
          </cell>
          <cell r="I192">
            <v>0</v>
          </cell>
          <cell r="J192" t="str">
            <v>Sheep10</v>
          </cell>
          <cell r="K192" t="str">
            <v>Progeny</v>
          </cell>
          <cell r="L192" t="str">
            <v>Foster</v>
          </cell>
        </row>
        <row r="193">
          <cell r="A193" t="str">
            <v>TransInSheep10ProgenyFoster,0</v>
          </cell>
          <cell r="D193" t="str">
            <v>FirstLambing</v>
          </cell>
          <cell r="E193">
            <v>0</v>
          </cell>
          <cell r="F193" t="str">
            <v>TransIn</v>
          </cell>
          <cell r="G193">
            <v>0</v>
          </cell>
          <cell r="H193">
            <v>0</v>
          </cell>
          <cell r="I193">
            <v>0</v>
          </cell>
          <cell r="J193" t="str">
            <v>Sh11</v>
          </cell>
          <cell r="K193" t="str">
            <v>Progeny</v>
          </cell>
          <cell r="L193" t="str">
            <v>FirstBirth</v>
          </cell>
        </row>
        <row r="194">
          <cell r="A194" t="str">
            <v>Sheep10ProgenyFirstBirth,40263</v>
          </cell>
          <cell r="D194" t="str">
            <v>FirstLambing</v>
          </cell>
          <cell r="E194">
            <v>40263</v>
          </cell>
          <cell r="F194" t="str">
            <v>BornAlive</v>
          </cell>
          <cell r="G194">
            <v>928</v>
          </cell>
          <cell r="I194">
            <v>4965</v>
          </cell>
          <cell r="J194" t="str">
            <v>Sheep10</v>
          </cell>
          <cell r="K194" t="str">
            <v>Progeny</v>
          </cell>
          <cell r="L194" t="str">
            <v>FirstBirth</v>
          </cell>
        </row>
        <row r="195">
          <cell r="A195" t="str">
            <v>BirthSheep10ProgenyMidBirth,40271</v>
          </cell>
          <cell r="D195" t="str">
            <v>MidLambing/LambsBorn</v>
          </cell>
          <cell r="E195">
            <v>40271</v>
          </cell>
          <cell r="F195" t="str">
            <v>Birth</v>
          </cell>
          <cell r="G195">
            <v>958</v>
          </cell>
          <cell r="I195">
            <v>4790</v>
          </cell>
          <cell r="J195" t="str">
            <v>Sh11</v>
          </cell>
          <cell r="K195" t="str">
            <v>Progeny</v>
          </cell>
          <cell r="L195" t="str">
            <v>LastBirth</v>
          </cell>
        </row>
        <row r="196">
          <cell r="A196" t="str">
            <v>Sheep10ProgenyLastBirth,40300</v>
          </cell>
          <cell r="D196" t="str">
            <v>LastLambing</v>
          </cell>
          <cell r="E196">
            <v>40300</v>
          </cell>
          <cell r="F196" t="str">
            <v>BornDead</v>
          </cell>
          <cell r="G196">
            <v>50</v>
          </cell>
          <cell r="H196">
            <v>0</v>
          </cell>
          <cell r="I196">
            <v>0</v>
          </cell>
          <cell r="J196" t="str">
            <v>Sheep10</v>
          </cell>
          <cell r="K196" t="str">
            <v>Progeny</v>
          </cell>
          <cell r="L196" t="str">
            <v>LastBirth</v>
          </cell>
          <cell r="M196">
            <v>5</v>
          </cell>
          <cell r="N196">
            <v>5</v>
          </cell>
          <cell r="O196" t="str">
            <v>default close value &amp; weight</v>
          </cell>
        </row>
        <row r="197">
          <cell r="A197" t="str">
            <v>BornDeadSheep10ProgenyAtFoot,40269</v>
          </cell>
          <cell r="D197" t="str">
            <v>Born Dead (within 24hours)</v>
          </cell>
          <cell r="E197">
            <v>40269</v>
          </cell>
          <cell r="F197" t="str">
            <v>BornDead</v>
          </cell>
          <cell r="G197">
            <v>90</v>
          </cell>
          <cell r="H197">
            <v>0</v>
          </cell>
          <cell r="I197">
            <v>90</v>
          </cell>
          <cell r="J197" t="str">
            <v>Sheep10</v>
          </cell>
          <cell r="K197" t="str">
            <v>Progeny</v>
          </cell>
          <cell r="L197" t="str">
            <v>AtFoot</v>
          </cell>
        </row>
        <row r="198">
          <cell r="A198" t="str">
            <v>DeathSheep10ProgenyAtFoot,40391</v>
          </cell>
          <cell r="D198" t="str">
            <v>Dead (after 24hours)</v>
          </cell>
          <cell r="E198">
            <v>40391</v>
          </cell>
          <cell r="F198" t="str">
            <v>Death</v>
          </cell>
          <cell r="G198">
            <v>44</v>
          </cell>
          <cell r="H198">
            <v>0</v>
          </cell>
          <cell r="I198">
            <v>220</v>
          </cell>
          <cell r="J198" t="str">
            <v>Sheep10</v>
          </cell>
          <cell r="K198" t="str">
            <v>Progeny</v>
          </cell>
          <cell r="L198" t="str">
            <v>AtFoot</v>
          </cell>
          <cell r="M198">
            <v>0.19497724943386846</v>
          </cell>
          <cell r="N198" t="str">
            <v>daily gain used in grassland</v>
          </cell>
        </row>
        <row r="199">
          <cell r="A199" t="str">
            <v>SaleSheep10ProgenyAtFoot,0</v>
          </cell>
          <cell r="D199" t="str">
            <v>Orphans</v>
          </cell>
          <cell r="E199">
            <v>0</v>
          </cell>
          <cell r="F199" t="str">
            <v>GivingBirth</v>
          </cell>
          <cell r="G199">
            <v>532</v>
          </cell>
          <cell r="H199" t="str">
            <v>DLWG</v>
          </cell>
          <cell r="I199">
            <v>0.19497724943386846</v>
          </cell>
          <cell r="J199" t="str">
            <v>Sh11</v>
          </cell>
          <cell r="K199" t="str">
            <v>Female</v>
          </cell>
          <cell r="L199" t="str">
            <v>AtFoot</v>
          </cell>
        </row>
        <row r="200">
          <cell r="A200" t="str">
            <v>GivingBirthSheep10Female,</v>
          </cell>
          <cell r="D200" t="str">
            <v>NetWeight</v>
          </cell>
          <cell r="E200">
            <v>32024.340425531918</v>
          </cell>
          <cell r="F200" t="str">
            <v>GivingBirth</v>
          </cell>
          <cell r="G200">
            <v>525</v>
          </cell>
          <cell r="H200">
            <v>150527</v>
          </cell>
          <cell r="I200">
            <v>162.73189189189191</v>
          </cell>
          <cell r="J200" t="str">
            <v>Sheep10</v>
          </cell>
          <cell r="K200" t="str">
            <v>Female</v>
          </cell>
        </row>
        <row r="201">
          <cell r="A201" t="str">
            <v>BornAliveSheep10Progeny,</v>
          </cell>
          <cell r="D201" t="str">
            <v>Slaughter Lambs Deadweight Sales</v>
          </cell>
          <cell r="F201" t="str">
            <v>BornAlive</v>
          </cell>
          <cell r="G201">
            <v>868</v>
          </cell>
          <cell r="J201" t="str">
            <v>Sheep10</v>
          </cell>
          <cell r="K201" t="str">
            <v>Progeny</v>
          </cell>
        </row>
        <row r="202">
          <cell r="A202" t="str">
            <v>ProgenyRearedSheep10Progeny,</v>
          </cell>
          <cell r="D202" t="str">
            <v>Lambs left at close of year</v>
          </cell>
          <cell r="E202">
            <v>41082</v>
          </cell>
          <cell r="F202" t="str">
            <v>ProgenyReared</v>
          </cell>
          <cell r="G202">
            <v>824</v>
          </cell>
          <cell r="H202">
            <v>1092</v>
          </cell>
          <cell r="I202">
            <v>536.17021276595744</v>
          </cell>
          <cell r="J202" t="str">
            <v>Sheep10</v>
          </cell>
          <cell r="K202" t="str">
            <v>Progeny</v>
          </cell>
          <cell r="L202" t="str">
            <v>Deadweight</v>
          </cell>
          <cell r="M202">
            <v>0.47</v>
          </cell>
          <cell r="N202">
            <v>252</v>
          </cell>
          <cell r="O202">
            <v>78</v>
          </cell>
          <cell r="P202">
            <v>38.297872340425535</v>
          </cell>
          <cell r="S202">
            <v>2.0366666666666666</v>
          </cell>
          <cell r="T202">
            <v>575148</v>
          </cell>
        </row>
        <row r="203">
          <cell r="A203" t="str">
            <v>CloseSheep10ProgenyAtFoot5,40544</v>
          </cell>
          <cell r="D203" t="str">
            <v>Lambs left at close of year</v>
          </cell>
          <cell r="E203">
            <v>40634</v>
          </cell>
          <cell r="F203" t="str">
            <v>Entry</v>
          </cell>
          <cell r="G203">
            <v>943</v>
          </cell>
          <cell r="H203">
            <v>0</v>
          </cell>
          <cell r="I203">
            <v>5.2651113467656412</v>
          </cell>
          <cell r="J203" t="str">
            <v>Sh11</v>
          </cell>
          <cell r="K203" t="str">
            <v>Progeny</v>
          </cell>
          <cell r="L203" t="str">
            <v>Deadweight</v>
          </cell>
          <cell r="M203">
            <v>0.47</v>
          </cell>
          <cell r="N203">
            <v>901</v>
          </cell>
          <cell r="O203">
            <v>67.15094339622641</v>
          </cell>
          <cell r="P203">
            <v>36.170212765957451</v>
          </cell>
          <cell r="S203">
            <v>1.8565260821309653</v>
          </cell>
          <cell r="T203">
            <v>2177346</v>
          </cell>
        </row>
        <row r="204">
          <cell r="A204" t="str">
            <v>EntrySheep10Progeny,40271.2073732719</v>
          </cell>
          <cell r="E204">
            <v>40271.207373271893</v>
          </cell>
          <cell r="F204" t="str">
            <v>Entry</v>
          </cell>
          <cell r="G204">
            <v>868</v>
          </cell>
          <cell r="H204">
            <v>0</v>
          </cell>
          <cell r="I204">
            <v>5.5184331797235027</v>
          </cell>
          <cell r="J204" t="str">
            <v>Sheep10</v>
          </cell>
          <cell r="K204" t="str">
            <v>Progeny</v>
          </cell>
          <cell r="L204" t="str">
            <v>AtFoot</v>
          </cell>
          <cell r="M204">
            <v>0.19255780632351499</v>
          </cell>
          <cell r="N204" t="str">
            <v>daily gain used in grassland</v>
          </cell>
          <cell r="O204">
            <v>67.333333333333329</v>
          </cell>
          <cell r="P204">
            <v>38.297872340425535</v>
          </cell>
          <cell r="Q204">
            <v>0</v>
          </cell>
          <cell r="R204">
            <v>0</v>
          </cell>
          <cell r="S204">
            <v>1.7581481481481478</v>
          </cell>
          <cell r="T204">
            <v>246654</v>
          </cell>
        </row>
        <row r="205">
          <cell r="A205" t="str">
            <v>ExitSheep10ProgenyAtFoot0.205018656975212,0</v>
          </cell>
          <cell r="D205" t="str">
            <v>Progeny performance</v>
          </cell>
          <cell r="E205">
            <v>0</v>
          </cell>
          <cell r="F205" t="str">
            <v>Exit</v>
          </cell>
          <cell r="G205">
            <v>0</v>
          </cell>
          <cell r="H205">
            <v>0</v>
          </cell>
          <cell r="I205">
            <v>0</v>
          </cell>
          <cell r="J205" t="str">
            <v>Sheep10</v>
          </cell>
          <cell r="K205" t="str">
            <v>Progeny</v>
          </cell>
          <cell r="L205" t="str">
            <v>AtFoot</v>
          </cell>
          <cell r="M205">
            <v>0.20501865697521188</v>
          </cell>
          <cell r="N205" t="str">
            <v>daily gain used in grassland</v>
          </cell>
          <cell r="O205">
            <v>76</v>
          </cell>
          <cell r="P205">
            <v>40.425531914893618</v>
          </cell>
          <cell r="Q205">
            <v>0</v>
          </cell>
          <cell r="R205">
            <v>0</v>
          </cell>
          <cell r="S205">
            <v>1.88</v>
          </cell>
          <cell r="T205">
            <v>945783</v>
          </cell>
        </row>
        <row r="206">
          <cell r="A206" t="str">
            <v>NetLiveweightSoldKgSheep10Kilo of Liveweight,</v>
          </cell>
          <cell r="D206" t="str">
            <v>Progeny performance</v>
          </cell>
          <cell r="E206">
            <v>41125</v>
          </cell>
          <cell r="F206" t="str">
            <v>NetLiveweightSoldKg</v>
          </cell>
          <cell r="G206">
            <v>34350</v>
          </cell>
          <cell r="H206" t="str">
            <v>DLWG</v>
          </cell>
          <cell r="I206">
            <v>0.20501865697521188</v>
          </cell>
          <cell r="J206" t="str">
            <v>Sheep10</v>
          </cell>
          <cell r="K206" t="str">
            <v>Kilo of Liveweight</v>
          </cell>
          <cell r="L206" t="str">
            <v>Deadweight</v>
          </cell>
          <cell r="M206">
            <v>0.47</v>
          </cell>
          <cell r="N206">
            <v>1088</v>
          </cell>
          <cell r="O206">
            <v>64.739999999999995</v>
          </cell>
          <cell r="P206">
            <v>36.170212765957451</v>
          </cell>
          <cell r="Q206">
            <v>0</v>
          </cell>
          <cell r="R206">
            <v>0</v>
          </cell>
          <cell r="S206">
            <v>1.7898705882352937</v>
          </cell>
          <cell r="T206">
            <v>2632000</v>
          </cell>
        </row>
        <row r="207">
          <cell r="A207" t="str">
            <v>AverageNoSheep10,33300</v>
          </cell>
          <cell r="D207" t="str">
            <v>NetWeight</v>
          </cell>
          <cell r="E207">
            <v>33300</v>
          </cell>
          <cell r="F207" t="str">
            <v>AverageNo</v>
          </cell>
          <cell r="G207">
            <v>338.45539906103284</v>
          </cell>
          <cell r="H207">
            <v>144182</v>
          </cell>
          <cell r="I207">
            <v>174.97815533980582</v>
          </cell>
          <cell r="J207" t="str">
            <v>Sheep10</v>
          </cell>
          <cell r="K207" t="str">
            <v>Progeny</v>
          </cell>
          <cell r="L207" t="str">
            <v>Deadweight</v>
          </cell>
          <cell r="M207">
            <v>0.47</v>
          </cell>
          <cell r="N207">
            <v>360</v>
          </cell>
          <cell r="O207">
            <v>67.05</v>
          </cell>
          <cell r="P207">
            <v>38.297872340425535</v>
          </cell>
          <cell r="Q207">
            <v>0</v>
          </cell>
          <cell r="R207">
            <v>0</v>
          </cell>
          <cell r="S207">
            <v>1.7507499999999998</v>
          </cell>
          <cell r="T207">
            <v>822720</v>
          </cell>
        </row>
        <row r="208">
          <cell r="A208" t="str">
            <v>Sheep10,</v>
          </cell>
          <cell r="D208" t="str">
            <v>Slaughter Lambs Deadweight Sales</v>
          </cell>
          <cell r="E208">
            <v>40716</v>
          </cell>
          <cell r="F208" t="str">
            <v>Sale</v>
          </cell>
          <cell r="G208">
            <v>14</v>
          </cell>
          <cell r="H208">
            <v>1116</v>
          </cell>
          <cell r="I208">
            <v>565.95744680851067</v>
          </cell>
          <cell r="J208" t="str">
            <v>Sheep10</v>
          </cell>
          <cell r="K208" t="str">
            <v>Progeny</v>
          </cell>
          <cell r="L208" t="str">
            <v>Deadweight</v>
          </cell>
          <cell r="M208">
            <v>0.47</v>
          </cell>
          <cell r="N208">
            <v>266</v>
          </cell>
          <cell r="O208">
            <v>79.714285714285708</v>
          </cell>
          <cell r="P208">
            <v>40.425531914893618</v>
          </cell>
          <cell r="Q208">
            <v>0</v>
          </cell>
          <cell r="R208">
            <v>0</v>
          </cell>
          <cell r="S208">
            <v>1.97187969924812</v>
          </cell>
          <cell r="T208">
            <v>570024</v>
          </cell>
        </row>
        <row r="209">
          <cell r="A209" t="str">
            <v>SaleSheep10ProgenyDeadweight0,40422</v>
          </cell>
          <cell r="E209">
            <v>40422</v>
          </cell>
          <cell r="F209" t="str">
            <v>Sale</v>
          </cell>
          <cell r="G209">
            <v>0</v>
          </cell>
          <cell r="H209">
            <v>0</v>
          </cell>
          <cell r="I209">
            <v>0</v>
          </cell>
          <cell r="J209" t="str">
            <v>Sheep10</v>
          </cell>
          <cell r="K209" t="str">
            <v>Progeny</v>
          </cell>
          <cell r="L209" t="str">
            <v>Deadweight</v>
          </cell>
          <cell r="M209">
            <v>0.47</v>
          </cell>
          <cell r="N209">
            <v>0</v>
          </cell>
          <cell r="O209">
            <v>0</v>
          </cell>
          <cell r="P209">
            <v>0</v>
          </cell>
          <cell r="Q209">
            <v>0</v>
          </cell>
          <cell r="R209">
            <v>0</v>
          </cell>
          <cell r="S209">
            <v>0</v>
          </cell>
          <cell r="T209">
            <v>0</v>
          </cell>
        </row>
        <row r="210">
          <cell r="A210" t="str">
            <v>SaleSheep10ProgenyDeadweight0,40423</v>
          </cell>
          <cell r="E210">
            <v>40423</v>
          </cell>
          <cell r="F210" t="str">
            <v>Sale</v>
          </cell>
          <cell r="G210">
            <v>0</v>
          </cell>
          <cell r="H210">
            <v>0</v>
          </cell>
          <cell r="I210">
            <v>0</v>
          </cell>
          <cell r="J210" t="str">
            <v>Sheep10</v>
          </cell>
          <cell r="K210" t="str">
            <v>Progeny</v>
          </cell>
          <cell r="L210" t="str">
            <v>Deadweight</v>
          </cell>
          <cell r="M210">
            <v>0.47</v>
          </cell>
          <cell r="N210">
            <v>0</v>
          </cell>
          <cell r="O210">
            <v>0</v>
          </cell>
          <cell r="P210">
            <v>0</v>
          </cell>
          <cell r="Q210">
            <v>0</v>
          </cell>
          <cell r="R210">
            <v>0</v>
          </cell>
          <cell r="S210">
            <v>0</v>
          </cell>
          <cell r="T210">
            <v>0</v>
          </cell>
        </row>
        <row r="211">
          <cell r="A211" t="str">
            <v>SaleSheep10ProgenyDeadweight0,40424</v>
          </cell>
          <cell r="E211">
            <v>40424</v>
          </cell>
          <cell r="F211" t="str">
            <v>Sale</v>
          </cell>
          <cell r="G211">
            <v>0</v>
          </cell>
          <cell r="H211">
            <v>0</v>
          </cell>
          <cell r="I211">
            <v>0</v>
          </cell>
          <cell r="J211" t="str">
            <v>Sheep10</v>
          </cell>
          <cell r="K211" t="str">
            <v>Progeny</v>
          </cell>
          <cell r="L211" t="str">
            <v>Deadweight</v>
          </cell>
          <cell r="M211">
            <v>0.47</v>
          </cell>
          <cell r="N211">
            <v>0</v>
          </cell>
          <cell r="O211">
            <v>0</v>
          </cell>
          <cell r="P211">
            <v>0</v>
          </cell>
          <cell r="Q211">
            <v>0</v>
          </cell>
          <cell r="R211">
            <v>0</v>
          </cell>
          <cell r="S211">
            <v>0</v>
          </cell>
          <cell r="T211">
            <v>0</v>
          </cell>
        </row>
        <row r="212">
          <cell r="A212" t="str">
            <v>SaleSheep10ProgenyDeadweight0,40425</v>
          </cell>
          <cell r="E212">
            <v>40425</v>
          </cell>
          <cell r="F212" t="str">
            <v>Sale</v>
          </cell>
          <cell r="G212">
            <v>0</v>
          </cell>
          <cell r="H212">
            <v>0</v>
          </cell>
          <cell r="I212">
            <v>0</v>
          </cell>
          <cell r="J212" t="str">
            <v>Sheep10</v>
          </cell>
          <cell r="K212" t="str">
            <v>Progeny</v>
          </cell>
          <cell r="L212" t="str">
            <v>Deadweight</v>
          </cell>
          <cell r="M212">
            <v>0.47</v>
          </cell>
          <cell r="N212">
            <v>0</v>
          </cell>
          <cell r="O212">
            <v>0</v>
          </cell>
          <cell r="P212">
            <v>0</v>
          </cell>
          <cell r="Q212">
            <v>0</v>
          </cell>
          <cell r="R212">
            <v>0</v>
          </cell>
          <cell r="S212">
            <v>0</v>
          </cell>
          <cell r="T212">
            <v>0</v>
          </cell>
        </row>
        <row r="213">
          <cell r="A213" t="str">
            <v>SaleSheep10ProgenyDeadweight0,40426</v>
          </cell>
          <cell r="E213">
            <v>40426</v>
          </cell>
          <cell r="F213" t="str">
            <v>Sale</v>
          </cell>
          <cell r="G213">
            <v>0</v>
          </cell>
          <cell r="H213">
            <v>0</v>
          </cell>
          <cell r="I213">
            <v>0</v>
          </cell>
          <cell r="J213" t="str">
            <v>Sheep10</v>
          </cell>
          <cell r="K213" t="str">
            <v>Progeny</v>
          </cell>
          <cell r="L213" t="str">
            <v>Deadweight</v>
          </cell>
          <cell r="M213">
            <v>0.47</v>
          </cell>
          <cell r="N213">
            <v>0</v>
          </cell>
          <cell r="O213">
            <v>0</v>
          </cell>
          <cell r="P213">
            <v>0</v>
          </cell>
          <cell r="Q213">
            <v>0</v>
          </cell>
          <cell r="R213">
            <v>0</v>
          </cell>
          <cell r="S213">
            <v>0</v>
          </cell>
          <cell r="T213">
            <v>0</v>
          </cell>
        </row>
        <row r="214">
          <cell r="A214" t="str">
            <v>SaleSheep10ProgenyDeadweight0,40427</v>
          </cell>
          <cell r="D214" t="str">
            <v>Sales Commissions,fees,levies</v>
          </cell>
          <cell r="E214">
            <v>40427</v>
          </cell>
          <cell r="F214" t="str">
            <v>Sale</v>
          </cell>
          <cell r="G214">
            <v>0</v>
          </cell>
          <cell r="H214">
            <v>0</v>
          </cell>
          <cell r="I214">
            <v>0</v>
          </cell>
          <cell r="J214" t="str">
            <v>Sheep10</v>
          </cell>
          <cell r="K214" t="str">
            <v>Progeny</v>
          </cell>
          <cell r="L214" t="str">
            <v>Deadweight</v>
          </cell>
          <cell r="M214">
            <v>0.47</v>
          </cell>
          <cell r="N214">
            <v>0</v>
          </cell>
          <cell r="O214">
            <v>0</v>
          </cell>
          <cell r="P214">
            <v>0</v>
          </cell>
          <cell r="Q214">
            <v>0</v>
          </cell>
          <cell r="R214">
            <v>0</v>
          </cell>
          <cell r="S214">
            <v>0</v>
          </cell>
          <cell r="T214">
            <v>0</v>
          </cell>
        </row>
        <row r="215">
          <cell r="A215" t="str">
            <v>SaleSheep10ProgenyDeadweight0,40428</v>
          </cell>
          <cell r="D215" t="str">
            <v>Slaughter Lambs Liveweight</v>
          </cell>
          <cell r="E215">
            <v>40428</v>
          </cell>
          <cell r="F215" t="str">
            <v>Sale</v>
          </cell>
          <cell r="G215">
            <v>0</v>
          </cell>
          <cell r="H215">
            <v>0</v>
          </cell>
          <cell r="I215">
            <v>0</v>
          </cell>
          <cell r="J215" t="str">
            <v>Sheep10</v>
          </cell>
          <cell r="K215" t="str">
            <v>Progeny</v>
          </cell>
          <cell r="L215" t="str">
            <v>Deadweight</v>
          </cell>
          <cell r="M215">
            <v>0.47</v>
          </cell>
          <cell r="N215">
            <v>0</v>
          </cell>
          <cell r="O215">
            <v>0</v>
          </cell>
          <cell r="P215">
            <v>0</v>
          </cell>
          <cell r="Q215">
            <v>0</v>
          </cell>
          <cell r="R215">
            <v>0</v>
          </cell>
          <cell r="S215">
            <v>0</v>
          </cell>
          <cell r="T215">
            <v>0</v>
          </cell>
        </row>
        <row r="216">
          <cell r="A216" t="str">
            <v>SaleSheep10ProgenyDeadweight0,40429</v>
          </cell>
          <cell r="E216">
            <v>40429</v>
          </cell>
          <cell r="F216" t="str">
            <v>Sale</v>
          </cell>
          <cell r="G216">
            <v>0</v>
          </cell>
          <cell r="H216">
            <v>0</v>
          </cell>
          <cell r="I216">
            <v>0</v>
          </cell>
          <cell r="J216" t="str">
            <v>Sheep10</v>
          </cell>
          <cell r="K216" t="str">
            <v>Progeny</v>
          </cell>
          <cell r="L216" t="str">
            <v>Deadweight</v>
          </cell>
          <cell r="M216">
            <v>0.47</v>
          </cell>
          <cell r="N216">
            <v>0</v>
          </cell>
          <cell r="O216">
            <v>0</v>
          </cell>
          <cell r="P216">
            <v>0</v>
          </cell>
          <cell r="Q216">
            <v>0</v>
          </cell>
          <cell r="R216">
            <v>0</v>
          </cell>
          <cell r="S216">
            <v>0</v>
          </cell>
          <cell r="T216">
            <v>0</v>
          </cell>
        </row>
        <row r="217">
          <cell r="A217" t="str">
            <v>SaleSheep10ProgenyDeadweight0,40430</v>
          </cell>
          <cell r="E217">
            <v>40430</v>
          </cell>
          <cell r="F217" t="str">
            <v>Sale</v>
          </cell>
          <cell r="G217">
            <v>0</v>
          </cell>
          <cell r="H217">
            <v>0</v>
          </cell>
          <cell r="I217">
            <v>0</v>
          </cell>
          <cell r="J217" t="str">
            <v>Sheep10</v>
          </cell>
          <cell r="K217" t="str">
            <v>Progeny</v>
          </cell>
          <cell r="L217" t="str">
            <v>Deadweight</v>
          </cell>
          <cell r="M217">
            <v>0.47</v>
          </cell>
          <cell r="N217">
            <v>0</v>
          </cell>
          <cell r="O217">
            <v>0</v>
          </cell>
          <cell r="P217">
            <v>0</v>
          </cell>
          <cell r="Q217">
            <v>0</v>
          </cell>
          <cell r="R217">
            <v>0</v>
          </cell>
          <cell r="S217">
            <v>0</v>
          </cell>
          <cell r="T217">
            <v>0</v>
          </cell>
        </row>
        <row r="218">
          <cell r="A218" t="str">
            <v>SaleSheep10ProgenyDeadweight0,40431</v>
          </cell>
          <cell r="E218">
            <v>40431</v>
          </cell>
          <cell r="F218" t="str">
            <v>Sale</v>
          </cell>
          <cell r="G218">
            <v>0</v>
          </cell>
          <cell r="H218">
            <v>0</v>
          </cell>
          <cell r="I218">
            <v>0</v>
          </cell>
          <cell r="J218" t="str">
            <v>Sheep10</v>
          </cell>
          <cell r="K218" t="str">
            <v>Progeny</v>
          </cell>
          <cell r="L218" t="str">
            <v>Deadweight</v>
          </cell>
          <cell r="M218">
            <v>0.47</v>
          </cell>
          <cell r="N218">
            <v>0</v>
          </cell>
          <cell r="O218">
            <v>0</v>
          </cell>
          <cell r="P218">
            <v>0</v>
          </cell>
          <cell r="Q218">
            <v>0</v>
          </cell>
          <cell r="R218">
            <v>0</v>
          </cell>
          <cell r="S218">
            <v>0</v>
          </cell>
          <cell r="T218">
            <v>0</v>
          </cell>
        </row>
        <row r="219">
          <cell r="A219" t="str">
            <v>SaleSheep10ProgenyDeadweight0,40432</v>
          </cell>
          <cell r="D219" t="str">
            <v>Store Lambs</v>
          </cell>
          <cell r="E219">
            <v>40432</v>
          </cell>
          <cell r="F219" t="str">
            <v>Sale</v>
          </cell>
          <cell r="G219">
            <v>0</v>
          </cell>
          <cell r="H219">
            <v>0</v>
          </cell>
          <cell r="I219">
            <v>0</v>
          </cell>
          <cell r="J219" t="str">
            <v>Sheep10</v>
          </cell>
          <cell r="K219" t="str">
            <v>Progeny</v>
          </cell>
          <cell r="L219" t="str">
            <v>Deadweight</v>
          </cell>
          <cell r="M219">
            <v>0.47</v>
          </cell>
          <cell r="N219">
            <v>0</v>
          </cell>
          <cell r="O219">
            <v>0</v>
          </cell>
          <cell r="P219">
            <v>0</v>
          </cell>
          <cell r="Q219">
            <v>0</v>
          </cell>
          <cell r="R219">
            <v>0</v>
          </cell>
          <cell r="S219">
            <v>0</v>
          </cell>
          <cell r="T219">
            <v>0</v>
          </cell>
        </row>
        <row r="220">
          <cell r="A220" t="str">
            <v>SaleSheep10ProgenyDeadweight0,40433</v>
          </cell>
          <cell r="E220">
            <v>40433</v>
          </cell>
          <cell r="F220" t="str">
            <v>Sale</v>
          </cell>
          <cell r="G220">
            <v>0</v>
          </cell>
          <cell r="H220">
            <v>0</v>
          </cell>
          <cell r="I220">
            <v>0</v>
          </cell>
          <cell r="J220" t="str">
            <v>Sheep10</v>
          </cell>
          <cell r="K220" t="str">
            <v>Progeny</v>
          </cell>
          <cell r="L220" t="str">
            <v>Deadweight</v>
          </cell>
          <cell r="M220">
            <v>0.47</v>
          </cell>
          <cell r="N220">
            <v>0</v>
          </cell>
          <cell r="O220">
            <v>0</v>
          </cell>
          <cell r="P220">
            <v>0</v>
          </cell>
          <cell r="Q220">
            <v>0</v>
          </cell>
          <cell r="R220">
            <v>0</v>
          </cell>
          <cell r="S220">
            <v>0</v>
          </cell>
          <cell r="T220">
            <v>0</v>
          </cell>
        </row>
        <row r="221">
          <cell r="A221" t="str">
            <v>SaleSheep10ProgenyDeadweight0,40434</v>
          </cell>
          <cell r="E221">
            <v>40434</v>
          </cell>
          <cell r="F221" t="str">
            <v>Sale</v>
          </cell>
          <cell r="G221">
            <v>0</v>
          </cell>
          <cell r="H221">
            <v>0</v>
          </cell>
          <cell r="I221">
            <v>0</v>
          </cell>
          <cell r="J221" t="str">
            <v>Sheep10</v>
          </cell>
          <cell r="K221" t="str">
            <v>Progeny</v>
          </cell>
          <cell r="L221" t="str">
            <v>Deadweight</v>
          </cell>
          <cell r="M221">
            <v>0.47</v>
          </cell>
          <cell r="N221">
            <v>0</v>
          </cell>
          <cell r="O221">
            <v>65</v>
          </cell>
          <cell r="P221">
            <v>36</v>
          </cell>
          <cell r="Q221">
            <v>0</v>
          </cell>
          <cell r="R221">
            <v>0</v>
          </cell>
          <cell r="S221">
            <v>1.837957560774619</v>
          </cell>
          <cell r="T221">
            <v>0</v>
          </cell>
        </row>
        <row r="222">
          <cell r="A222" t="str">
            <v>SaleSheep10ProgenyDeadweight0,40435</v>
          </cell>
          <cell r="D222" t="str">
            <v>Sales Commissions,fees,levies</v>
          </cell>
          <cell r="E222">
            <v>40435</v>
          </cell>
          <cell r="F222" t="str">
            <v>Sale</v>
          </cell>
          <cell r="G222">
            <v>0</v>
          </cell>
          <cell r="H222">
            <v>0</v>
          </cell>
          <cell r="I222">
            <v>0</v>
          </cell>
          <cell r="J222" t="str">
            <v>Sheep10</v>
          </cell>
          <cell r="K222" t="str">
            <v>Progeny</v>
          </cell>
          <cell r="L222" t="str">
            <v>Deadweight</v>
          </cell>
          <cell r="M222">
            <v>0.47</v>
          </cell>
          <cell r="N222">
            <v>0</v>
          </cell>
          <cell r="O222">
            <v>0</v>
          </cell>
          <cell r="P222">
            <v>0</v>
          </cell>
          <cell r="Q222">
            <v>0</v>
          </cell>
          <cell r="R222">
            <v>0</v>
          </cell>
          <cell r="S222">
            <v>1.8055555555555556</v>
          </cell>
          <cell r="T222">
            <v>0</v>
          </cell>
        </row>
        <row r="223">
          <cell r="A223" t="str">
            <v>SaleSheep10ProgenyDeadweight0,40436</v>
          </cell>
          <cell r="D223" t="str">
            <v>Slaughter Lambs Liveweight</v>
          </cell>
          <cell r="E223">
            <v>40436</v>
          </cell>
          <cell r="F223" t="str">
            <v>Sale</v>
          </cell>
          <cell r="G223">
            <v>0</v>
          </cell>
          <cell r="H223">
            <v>0</v>
          </cell>
          <cell r="I223">
            <v>0</v>
          </cell>
          <cell r="J223" t="str">
            <v>Sh11</v>
          </cell>
          <cell r="K223" t="str">
            <v>Progeny</v>
          </cell>
          <cell r="L223" t="str">
            <v>Deadweight</v>
          </cell>
          <cell r="M223" t="str">
            <v>SaleSh11ProgenyLiveweight0,0</v>
          </cell>
          <cell r="N223">
            <v>0</v>
          </cell>
          <cell r="O223">
            <v>0</v>
          </cell>
          <cell r="P223">
            <v>0</v>
          </cell>
          <cell r="Q223">
            <v>0</v>
          </cell>
          <cell r="R223">
            <v>0</v>
          </cell>
          <cell r="S223">
            <v>0</v>
          </cell>
          <cell r="T223">
            <v>0</v>
          </cell>
        </row>
        <row r="224">
          <cell r="A224" t="str">
            <v>SaleSheep10ProgenyDeadweight0,40437</v>
          </cell>
          <cell r="E224">
            <v>40437</v>
          </cell>
          <cell r="F224" t="str">
            <v>Sale</v>
          </cell>
          <cell r="G224">
            <v>0</v>
          </cell>
          <cell r="H224">
            <v>0</v>
          </cell>
          <cell r="I224">
            <v>0</v>
          </cell>
          <cell r="J224" t="str">
            <v>Sheep10</v>
          </cell>
          <cell r="K224" t="str">
            <v>Progeny</v>
          </cell>
          <cell r="L224" t="str">
            <v>Deadweight</v>
          </cell>
          <cell r="M224">
            <v>0.47</v>
          </cell>
          <cell r="N224">
            <v>0</v>
          </cell>
          <cell r="O224">
            <v>0</v>
          </cell>
          <cell r="P224">
            <v>0</v>
          </cell>
          <cell r="Q224">
            <v>0</v>
          </cell>
          <cell r="R224">
            <v>0</v>
          </cell>
          <cell r="S224">
            <v>0</v>
          </cell>
          <cell r="T224">
            <v>0</v>
          </cell>
        </row>
        <row r="225">
          <cell r="A225" t="str">
            <v>SaleSheep10ProgenyDeadweight0,40438</v>
          </cell>
          <cell r="E225">
            <v>40438</v>
          </cell>
          <cell r="F225" t="str">
            <v>Sale</v>
          </cell>
          <cell r="G225">
            <v>0</v>
          </cell>
          <cell r="H225">
            <v>0</v>
          </cell>
          <cell r="I225">
            <v>0</v>
          </cell>
          <cell r="J225" t="str">
            <v>Sheep10</v>
          </cell>
          <cell r="K225" t="str">
            <v>Progeny</v>
          </cell>
          <cell r="L225" t="str">
            <v>Deadweight</v>
          </cell>
          <cell r="M225">
            <v>0.47</v>
          </cell>
          <cell r="N225">
            <v>0</v>
          </cell>
          <cell r="O225">
            <v>0</v>
          </cell>
          <cell r="P225">
            <v>0</v>
          </cell>
          <cell r="Q225">
            <v>0</v>
          </cell>
          <cell r="R225">
            <v>0</v>
          </cell>
          <cell r="S225">
            <v>0</v>
          </cell>
          <cell r="T225">
            <v>0</v>
          </cell>
        </row>
        <row r="226">
          <cell r="A226" t="str">
            <v>SaleSheep10ProgenyDeadweight0,40439</v>
          </cell>
          <cell r="E226">
            <v>40439</v>
          </cell>
          <cell r="F226" t="str">
            <v>Sale</v>
          </cell>
          <cell r="G226">
            <v>0</v>
          </cell>
          <cell r="H226">
            <v>0</v>
          </cell>
          <cell r="I226">
            <v>0</v>
          </cell>
          <cell r="J226" t="str">
            <v>Sheep10</v>
          </cell>
          <cell r="K226" t="str">
            <v>Progeny</v>
          </cell>
          <cell r="L226" t="str">
            <v>Deadweight</v>
          </cell>
          <cell r="M226">
            <v>0.47</v>
          </cell>
          <cell r="N226">
            <v>0</v>
          </cell>
          <cell r="O226">
            <v>0</v>
          </cell>
          <cell r="P226">
            <v>0</v>
          </cell>
          <cell r="Q226">
            <v>0</v>
          </cell>
          <cell r="R226">
            <v>0</v>
          </cell>
          <cell r="S226">
            <v>0</v>
          </cell>
          <cell r="T226">
            <v>0</v>
          </cell>
        </row>
        <row r="227">
          <cell r="A227" t="str">
            <v>SaleSheep10ProgenyDeadweight0,40440</v>
          </cell>
          <cell r="D227" t="str">
            <v>Store Lambs</v>
          </cell>
          <cell r="E227">
            <v>40440</v>
          </cell>
          <cell r="F227" t="str">
            <v>Sale</v>
          </cell>
          <cell r="G227">
            <v>0</v>
          </cell>
          <cell r="H227">
            <v>0</v>
          </cell>
          <cell r="I227">
            <v>0</v>
          </cell>
          <cell r="J227" t="str">
            <v>Sh11</v>
          </cell>
          <cell r="K227" t="str">
            <v>Progeny</v>
          </cell>
          <cell r="L227" t="str">
            <v>Deadweight</v>
          </cell>
          <cell r="M227">
            <v>0.47</v>
          </cell>
          <cell r="N227">
            <v>0</v>
          </cell>
          <cell r="O227">
            <v>0</v>
          </cell>
          <cell r="P227">
            <v>0</v>
          </cell>
          <cell r="Q227">
            <v>0</v>
          </cell>
          <cell r="R227">
            <v>0</v>
          </cell>
          <cell r="S227">
            <v>0</v>
          </cell>
          <cell r="T227">
            <v>0</v>
          </cell>
        </row>
        <row r="228">
          <cell r="A228" t="str">
            <v>SaleSheep10ProgenyDeadweight0,40441</v>
          </cell>
          <cell r="E228">
            <v>40441</v>
          </cell>
          <cell r="F228" t="str">
            <v>Sale</v>
          </cell>
          <cell r="G228">
            <v>0</v>
          </cell>
          <cell r="H228">
            <v>0</v>
          </cell>
          <cell r="I228">
            <v>0</v>
          </cell>
          <cell r="J228" t="str">
            <v>Sheep10</v>
          </cell>
          <cell r="K228" t="str">
            <v>Progeny</v>
          </cell>
          <cell r="L228" t="str">
            <v>Deadweight</v>
          </cell>
          <cell r="M228">
            <v>0.47</v>
          </cell>
          <cell r="N228">
            <v>0</v>
          </cell>
          <cell r="O228">
            <v>60</v>
          </cell>
          <cell r="P228">
            <v>35</v>
          </cell>
          <cell r="Q228">
            <v>0</v>
          </cell>
          <cell r="R228">
            <v>0</v>
          </cell>
          <cell r="S228">
            <v>0</v>
          </cell>
          <cell r="T228">
            <v>0</v>
          </cell>
        </row>
        <row r="229">
          <cell r="A229" t="str">
            <v>SaleSheep10ProgenyDeadweight0,40442</v>
          </cell>
          <cell r="D229" t="str">
            <v>Share of decoupled subsidies alloacated in "Fixed Cost Calculator":-</v>
          </cell>
          <cell r="E229">
            <v>40442</v>
          </cell>
          <cell r="F229" t="str">
            <v>Sale</v>
          </cell>
          <cell r="G229">
            <v>0</v>
          </cell>
          <cell r="H229">
            <v>0</v>
          </cell>
          <cell r="I229">
            <v>0</v>
          </cell>
          <cell r="J229" t="str">
            <v>Sheep10</v>
          </cell>
          <cell r="K229" t="str">
            <v>Progeny</v>
          </cell>
          <cell r="L229" t="str">
            <v>Deadweight</v>
          </cell>
          <cell r="M229">
            <v>0.47</v>
          </cell>
          <cell r="N229">
            <v>0</v>
          </cell>
          <cell r="O229">
            <v>62.5</v>
          </cell>
          <cell r="P229">
            <v>35</v>
          </cell>
          <cell r="Q229">
            <v>0</v>
          </cell>
          <cell r="R229">
            <v>0</v>
          </cell>
          <cell r="S229">
            <v>0</v>
          </cell>
          <cell r="T229">
            <v>0</v>
          </cell>
        </row>
        <row r="230">
          <cell r="A230" t="str">
            <v>ExitSheep10ProgenyDeadweight,0</v>
          </cell>
          <cell r="D230" t="str">
            <v>Allocated from "FixedCost Calculator"</v>
          </cell>
          <cell r="E230">
            <v>0</v>
          </cell>
          <cell r="F230" t="str">
            <v>Exit</v>
          </cell>
          <cell r="G230">
            <v>0</v>
          </cell>
          <cell r="H230">
            <v>0</v>
          </cell>
          <cell r="I230">
            <v>0</v>
          </cell>
          <cell r="J230" t="str">
            <v>Sheep10</v>
          </cell>
          <cell r="K230" t="str">
            <v>Progeny</v>
          </cell>
          <cell r="L230" t="str">
            <v>Deadweight</v>
          </cell>
          <cell r="N230">
            <v>34.115574382428193</v>
          </cell>
          <cell r="O230" t="str">
            <v>Forage area</v>
          </cell>
          <cell r="S230">
            <v>0</v>
          </cell>
        </row>
        <row r="231">
          <cell r="A231" t="str">
            <v>PurchaseSheep10Marketing,</v>
          </cell>
          <cell r="D231" t="str">
            <v>Sales Commissions,fees,levies</v>
          </cell>
          <cell r="F231" t="str">
            <v>Purchase</v>
          </cell>
          <cell r="G231">
            <v>46.105600204228082</v>
          </cell>
          <cell r="H231">
            <v>0</v>
          </cell>
          <cell r="J231" t="str">
            <v>Sheep10</v>
          </cell>
          <cell r="K231" t="str">
            <v>Marketing</v>
          </cell>
          <cell r="L231" t="str">
            <v>HFAS/LFAS</v>
          </cell>
        </row>
        <row r="232">
          <cell r="A232" t="str">
            <v>Sheep10,</v>
          </cell>
          <cell r="D232" t="str">
            <v>Slaughter Lambs Liveweight</v>
          </cell>
          <cell r="E232">
            <v>0</v>
          </cell>
          <cell r="F232" t="str">
            <v>Sale</v>
          </cell>
          <cell r="G232">
            <v>0.42739683865501515</v>
          </cell>
          <cell r="H232">
            <v>27.048810680678748</v>
          </cell>
          <cell r="I232">
            <v>0</v>
          </cell>
          <cell r="J232" t="str">
            <v>Sheep10</v>
          </cell>
          <cell r="K232" t="str">
            <v>OtherIncome</v>
          </cell>
          <cell r="L232" t="str">
            <v>ELS/LMC</v>
          </cell>
          <cell r="M232" t="str">
            <v>SaleSheep10ProgenyLiveweight72.741935483871,40514</v>
          </cell>
          <cell r="O232">
            <v>0</v>
          </cell>
          <cell r="P232">
            <v>0</v>
          </cell>
        </row>
        <row r="233">
          <cell r="A233" t="str">
            <v>SaleSheep10ProgenyLiveweight65.3,40340</v>
          </cell>
          <cell r="D233" t="str">
            <v>Allocated from "FixedCost Calculator"</v>
          </cell>
          <cell r="E233">
            <v>40340</v>
          </cell>
          <cell r="F233" t="str">
            <v>Sale</v>
          </cell>
          <cell r="G233">
            <v>11</v>
          </cell>
          <cell r="H233">
            <v>718.3</v>
          </cell>
          <cell r="I233">
            <v>462</v>
          </cell>
          <cell r="J233" t="str">
            <v>Sheep10</v>
          </cell>
          <cell r="K233" t="str">
            <v>Progeny</v>
          </cell>
          <cell r="L233" t="str">
            <v>Liveweight</v>
          </cell>
          <cell r="O233">
            <v>65.3</v>
          </cell>
          <cell r="P233">
            <v>42</v>
          </cell>
          <cell r="S233">
            <v>1.5547619047619048</v>
          </cell>
          <cell r="T233">
            <v>443740</v>
          </cell>
        </row>
        <row r="234">
          <cell r="A234" t="str">
            <v>SaleSheep10ProgenyLiveweight55.24,40367</v>
          </cell>
          <cell r="D234" t="str">
            <v>Allocated from "FixedCost Calculator"</v>
          </cell>
          <cell r="E234">
            <v>40367</v>
          </cell>
          <cell r="F234" t="str">
            <v>Sale</v>
          </cell>
          <cell r="G234">
            <v>39</v>
          </cell>
          <cell r="H234">
            <v>2154.36</v>
          </cell>
          <cell r="I234">
            <v>1638</v>
          </cell>
          <cell r="J234" t="str">
            <v>Sheep10</v>
          </cell>
          <cell r="K234" t="str">
            <v>Progeny</v>
          </cell>
          <cell r="L234" t="str">
            <v>Liveweight</v>
          </cell>
          <cell r="O234">
            <v>55.24</v>
          </cell>
          <cell r="P234">
            <v>42</v>
          </cell>
          <cell r="S234">
            <v>1.3152380952380953</v>
          </cell>
          <cell r="T234">
            <v>1574313</v>
          </cell>
        </row>
        <row r="235">
          <cell r="A235" t="str">
            <v>SaleSheep10ProgenyLiveweight57.8823529411765,40373</v>
          </cell>
          <cell r="D235" t="str">
            <v>Allocated from "FixedCost Calculator"</v>
          </cell>
          <cell r="E235">
            <v>40373</v>
          </cell>
          <cell r="F235" t="str">
            <v>Sale</v>
          </cell>
          <cell r="G235">
            <v>11.503229547702663</v>
          </cell>
          <cell r="H235">
            <v>728.00884356412189</v>
          </cell>
          <cell r="I235">
            <v>1462</v>
          </cell>
          <cell r="J235" t="str">
            <v>Sh11</v>
          </cell>
          <cell r="K235" t="str">
            <v>OtherIncome</v>
          </cell>
          <cell r="L235" t="str">
            <v>SundryFarmIncome</v>
          </cell>
          <cell r="O235">
            <v>57.882352941176471</v>
          </cell>
          <cell r="P235">
            <v>43</v>
          </cell>
          <cell r="S235">
            <v>1.3461012311901506</v>
          </cell>
          <cell r="T235">
            <v>1372682</v>
          </cell>
        </row>
        <row r="236">
          <cell r="A236" t="str">
            <v>SaleSheep10ProgenyLiveweight59.8888888888889,40384</v>
          </cell>
          <cell r="D236" t="str">
            <v>Wool</v>
          </cell>
          <cell r="E236">
            <v>40384</v>
          </cell>
          <cell r="F236" t="str">
            <v>Sale</v>
          </cell>
          <cell r="G236">
            <v>9</v>
          </cell>
          <cell r="H236">
            <v>539</v>
          </cell>
          <cell r="I236">
            <v>396</v>
          </cell>
          <cell r="J236" t="str">
            <v>Sh11</v>
          </cell>
          <cell r="K236" t="str">
            <v>Progeny</v>
          </cell>
          <cell r="L236" t="str">
            <v>Liveweight</v>
          </cell>
          <cell r="O236">
            <v>59.888888888888886</v>
          </cell>
          <cell r="P236">
            <v>44</v>
          </cell>
          <cell r="S236">
            <v>1.3611111111111109</v>
          </cell>
          <cell r="T236">
            <v>363456</v>
          </cell>
        </row>
        <row r="237">
          <cell r="A237" t="str">
            <v>SaleSheep10ProgenyLiveweight56.8775510204082,40391</v>
          </cell>
          <cell r="D237" t="str">
            <v>Share of decoupled subsidies alloacated in "Fixed Cost Calculator":-</v>
          </cell>
          <cell r="E237">
            <v>40391</v>
          </cell>
          <cell r="F237" t="str">
            <v>Sale</v>
          </cell>
          <cell r="G237">
            <v>2.2000000000000002</v>
          </cell>
          <cell r="H237">
            <v>2007</v>
          </cell>
          <cell r="I237">
            <v>2009</v>
          </cell>
          <cell r="J237" t="str">
            <v>Sh11</v>
          </cell>
          <cell r="K237" t="str">
            <v>Wool</v>
          </cell>
          <cell r="L237" t="str">
            <v>Liveweight</v>
          </cell>
          <cell r="O237">
            <v>56.877551020408163</v>
          </cell>
          <cell r="P237">
            <v>41</v>
          </cell>
          <cell r="S237">
            <v>1.3872573419611747</v>
          </cell>
          <cell r="T237">
            <v>1979159</v>
          </cell>
        </row>
        <row r="238">
          <cell r="A238" t="str">
            <v>SaleSheep10ProgenyLiveweight59.4,40402</v>
          </cell>
          <cell r="D238" t="str">
            <v>Allocated from "FixedCost Calculator"</v>
          </cell>
          <cell r="E238">
            <v>40402</v>
          </cell>
          <cell r="F238" t="str">
            <v>Sale</v>
          </cell>
          <cell r="G238">
            <v>263.11510911132666</v>
          </cell>
          <cell r="H238">
            <v>16157.695288219935</v>
          </cell>
          <cell r="I238">
            <v>630</v>
          </cell>
          <cell r="J238" t="str">
            <v>Sh11</v>
          </cell>
          <cell r="K238" t="str">
            <v>OtherIncome</v>
          </cell>
          <cell r="L238" t="str">
            <v>SFP</v>
          </cell>
          <cell r="N238">
            <v>44.007375858854353</v>
          </cell>
          <cell r="O238">
            <v>59.4</v>
          </cell>
          <cell r="P238">
            <v>42</v>
          </cell>
          <cell r="S238">
            <v>1.4142857142857141</v>
          </cell>
          <cell r="T238">
            <v>606030</v>
          </cell>
        </row>
        <row r="239">
          <cell r="A239" t="str">
            <v>SaleSheep10ProgenyLiveweight55.6521739130435,40410</v>
          </cell>
          <cell r="D239" t="str">
            <v>Allocated from "FixedCost Calculator"</v>
          </cell>
          <cell r="E239">
            <v>40410</v>
          </cell>
          <cell r="F239" t="str">
            <v>Sale</v>
          </cell>
          <cell r="G239">
            <v>44.309562434523592</v>
          </cell>
          <cell r="H239">
            <v>2721.0159484549677</v>
          </cell>
          <cell r="I239">
            <v>1035</v>
          </cell>
          <cell r="J239" t="str">
            <v>Sh11</v>
          </cell>
          <cell r="K239" t="str">
            <v>OtherIncome</v>
          </cell>
          <cell r="L239" t="str">
            <v>HFAS/LFAS</v>
          </cell>
          <cell r="O239">
            <v>55.652173913043477</v>
          </cell>
          <cell r="P239">
            <v>45</v>
          </cell>
          <cell r="S239">
            <v>1.2367149758454106</v>
          </cell>
          <cell r="T239">
            <v>929430</v>
          </cell>
        </row>
        <row r="240">
          <cell r="A240" t="str">
            <v>SaleSheep10ProgenyLiveweight49.65,40416</v>
          </cell>
          <cell r="D240" t="str">
            <v>Allocated from "FixedCost Calculator"</v>
          </cell>
          <cell r="E240">
            <v>40416</v>
          </cell>
          <cell r="F240" t="str">
            <v>Sale</v>
          </cell>
          <cell r="G240">
            <v>1.8213973357998425</v>
          </cell>
          <cell r="H240">
            <v>111.85060124455833</v>
          </cell>
          <cell r="I240">
            <v>2460</v>
          </cell>
          <cell r="J240" t="str">
            <v>Sh11</v>
          </cell>
          <cell r="K240" t="str">
            <v>OtherIncome</v>
          </cell>
          <cell r="L240" t="str">
            <v>ELS/LMC</v>
          </cell>
          <cell r="M240">
            <v>0.88</v>
          </cell>
          <cell r="N240">
            <v>23.76</v>
          </cell>
          <cell r="O240">
            <v>49.65</v>
          </cell>
          <cell r="P240">
            <v>41</v>
          </cell>
          <cell r="Q240">
            <v>3136.32</v>
          </cell>
          <cell r="S240">
            <v>1.2109756097560975</v>
          </cell>
          <cell r="T240">
            <v>2424960</v>
          </cell>
        </row>
        <row r="241">
          <cell r="A241" t="str">
            <v>SaleSheep10ProgenyLiveweight55.6862745098039,40417</v>
          </cell>
          <cell r="D241" t="str">
            <v>Allocated from "FixedCost Calculator"</v>
          </cell>
          <cell r="E241">
            <v>40417</v>
          </cell>
          <cell r="F241" t="str">
            <v>Sale</v>
          </cell>
          <cell r="G241">
            <v>0</v>
          </cell>
          <cell r="H241">
            <v>0</v>
          </cell>
          <cell r="I241">
            <v>2193</v>
          </cell>
          <cell r="J241" t="str">
            <v>Sh11</v>
          </cell>
          <cell r="K241" t="str">
            <v>OtherIncome</v>
          </cell>
          <cell r="L241" t="str">
            <v>OrganicProductionGrant</v>
          </cell>
          <cell r="M241">
            <v>0.88</v>
          </cell>
          <cell r="N241">
            <v>0</v>
          </cell>
          <cell r="O241">
            <v>55.686274509803923</v>
          </cell>
          <cell r="P241">
            <v>43</v>
          </cell>
          <cell r="Q241">
            <v>0</v>
          </cell>
          <cell r="S241">
            <v>1.295029639762882</v>
          </cell>
          <cell r="T241">
            <v>2061267</v>
          </cell>
        </row>
        <row r="242">
          <cell r="A242" t="str">
            <v>SaleSheep10ProgenyLiveweight51,40423</v>
          </cell>
          <cell r="D242" t="str">
            <v>Allocated from "FixedCost Calculator"</v>
          </cell>
          <cell r="E242">
            <v>40423</v>
          </cell>
          <cell r="F242" t="str">
            <v>Sale</v>
          </cell>
          <cell r="G242">
            <v>19.393492717025431</v>
          </cell>
          <cell r="H242">
            <v>1190.9393837334751</v>
          </cell>
          <cell r="I242">
            <v>2100</v>
          </cell>
          <cell r="J242" t="str">
            <v>Sh11</v>
          </cell>
          <cell r="K242" t="str">
            <v>OtherIncome</v>
          </cell>
          <cell r="L242" t="str">
            <v>EnvironmentalSubsidy</v>
          </cell>
          <cell r="M242">
            <v>0.88</v>
          </cell>
          <cell r="N242">
            <v>0.52800000000000002</v>
          </cell>
          <cell r="O242">
            <v>51</v>
          </cell>
          <cell r="P242">
            <v>42</v>
          </cell>
          <cell r="Q242">
            <v>69.696000000000012</v>
          </cell>
          <cell r="S242">
            <v>1.2142857142857142</v>
          </cell>
          <cell r="T242">
            <v>2021150</v>
          </cell>
        </row>
        <row r="243">
          <cell r="A243" t="str">
            <v>SaleSheep10ProgenyLiveweight54.2307692307692,40431</v>
          </cell>
          <cell r="D243" t="str">
            <v>Allocated from "FixedCost Calculator"</v>
          </cell>
          <cell r="E243">
            <v>40431</v>
          </cell>
          <cell r="F243" t="str">
            <v>Sale</v>
          </cell>
          <cell r="G243">
            <v>11.773249044055609</v>
          </cell>
          <cell r="H243">
            <v>722.98611527356081</v>
          </cell>
          <cell r="I243">
            <v>2080</v>
          </cell>
          <cell r="J243" t="str">
            <v>Sh11</v>
          </cell>
          <cell r="K243" t="str">
            <v>OtherIncome</v>
          </cell>
          <cell r="L243" t="str">
            <v>SundryFarmIncome</v>
          </cell>
          <cell r="M243">
            <v>0.22</v>
          </cell>
          <cell r="N243">
            <v>0</v>
          </cell>
          <cell r="O243">
            <v>54.230769230769234</v>
          </cell>
          <cell r="P243">
            <v>40</v>
          </cell>
          <cell r="Q243">
            <v>0</v>
          </cell>
          <cell r="S243">
            <v>1.3557692307692308</v>
          </cell>
          <cell r="T243">
            <v>2102412</v>
          </cell>
        </row>
        <row r="244">
          <cell r="A244" t="str">
            <v>SaleSheep10ProgenyLiveweight54.14,40444</v>
          </cell>
          <cell r="D244" t="str">
            <v>Wool</v>
          </cell>
          <cell r="E244">
            <v>40444</v>
          </cell>
          <cell r="F244" t="str">
            <v>TransIn</v>
          </cell>
          <cell r="G244">
            <v>0</v>
          </cell>
          <cell r="H244">
            <v>0</v>
          </cell>
          <cell r="I244">
            <v>2050</v>
          </cell>
          <cell r="J244" t="str">
            <v>Sh11</v>
          </cell>
          <cell r="K244" t="str">
            <v>OtherForage</v>
          </cell>
          <cell r="L244" t="str">
            <v>Feed Straw</v>
          </cell>
          <cell r="M244">
            <v>0.86</v>
          </cell>
          <cell r="N244">
            <v>0</v>
          </cell>
          <cell r="O244">
            <v>54.14</v>
          </cell>
          <cell r="P244">
            <v>41</v>
          </cell>
          <cell r="Q244">
            <v>0</v>
          </cell>
          <cell r="S244">
            <v>1.3204878048780488</v>
          </cell>
          <cell r="T244">
            <v>2022200</v>
          </cell>
        </row>
        <row r="245">
          <cell r="A245" t="str">
            <v>SaleSheep10ProgenyLiveweight0,40451</v>
          </cell>
          <cell r="D245" t="str">
            <v>Wool from ewes and tups</v>
          </cell>
          <cell r="E245">
            <v>40451</v>
          </cell>
          <cell r="F245" t="str">
            <v>Sale</v>
          </cell>
          <cell r="G245">
            <v>1.55</v>
          </cell>
          <cell r="H245">
            <v>1723.5</v>
          </cell>
          <cell r="I245">
            <v>0</v>
          </cell>
          <cell r="J245" t="str">
            <v>Sh11</v>
          </cell>
          <cell r="K245" t="str">
            <v>Wool</v>
          </cell>
          <cell r="L245" t="str">
            <v>Hay</v>
          </cell>
          <cell r="M245">
            <v>0.85</v>
          </cell>
          <cell r="N245">
            <v>0</v>
          </cell>
          <cell r="O245">
            <v>0</v>
          </cell>
          <cell r="P245">
            <v>0</v>
          </cell>
          <cell r="Q245">
            <v>0</v>
          </cell>
          <cell r="S245">
            <v>0</v>
          </cell>
          <cell r="T245">
            <v>0</v>
          </cell>
        </row>
        <row r="246">
          <cell r="A246" t="str">
            <v>SaleSheep10ProgenyLiveweight0,40461</v>
          </cell>
          <cell r="D246" t="str">
            <v>Variable Costs</v>
          </cell>
          <cell r="E246">
            <v>40461</v>
          </cell>
          <cell r="F246" t="str">
            <v>Purchase</v>
          </cell>
          <cell r="G246">
            <v>0</v>
          </cell>
          <cell r="H246">
            <v>0</v>
          </cell>
          <cell r="I246">
            <v>0</v>
          </cell>
          <cell r="J246" t="str">
            <v>Sh11</v>
          </cell>
          <cell r="K246" t="str">
            <v>OtherForage</v>
          </cell>
          <cell r="L246" t="str">
            <v>Silage</v>
          </cell>
          <cell r="M246">
            <v>0.28000000000000003</v>
          </cell>
          <cell r="N246">
            <v>0</v>
          </cell>
          <cell r="O246">
            <v>0</v>
          </cell>
          <cell r="P246">
            <v>0</v>
          </cell>
          <cell r="Q246">
            <v>0</v>
          </cell>
          <cell r="S246">
            <v>0</v>
          </cell>
          <cell r="T246">
            <v>0</v>
          </cell>
        </row>
        <row r="247">
          <cell r="A247" t="str">
            <v>SaleSheep10ProgenyLiveweight59.9,40451</v>
          </cell>
          <cell r="D247" t="str">
            <v>Purchased roots at market value</v>
          </cell>
          <cell r="E247">
            <v>40451</v>
          </cell>
          <cell r="F247" t="str">
            <v>Purchase</v>
          </cell>
          <cell r="G247">
            <v>0</v>
          </cell>
          <cell r="H247">
            <v>0</v>
          </cell>
          <cell r="I247">
            <v>2646</v>
          </cell>
          <cell r="J247" t="str">
            <v>Sh11</v>
          </cell>
          <cell r="K247" t="str">
            <v>OtherForage</v>
          </cell>
          <cell r="L247" t="str">
            <v>Roots</v>
          </cell>
          <cell r="M247">
            <v>0.18</v>
          </cell>
          <cell r="N247">
            <v>0</v>
          </cell>
          <cell r="O247">
            <v>59.9</v>
          </cell>
          <cell r="P247">
            <v>42</v>
          </cell>
          <cell r="Q247">
            <v>0</v>
          </cell>
          <cell r="S247">
            <v>1.4261904761904762</v>
          </cell>
          <cell r="T247">
            <v>2548413</v>
          </cell>
        </row>
        <row r="248">
          <cell r="A248" t="str">
            <v>SaleSheep10ProgenyLiveweight62.7321428571429,40461</v>
          </cell>
          <cell r="D248" t="str">
            <v>ewe feed</v>
          </cell>
          <cell r="E248">
            <v>40461</v>
          </cell>
          <cell r="F248" t="str">
            <v>Purchase</v>
          </cell>
          <cell r="G248">
            <v>20</v>
          </cell>
          <cell r="H248">
            <v>4180</v>
          </cell>
          <cell r="I248">
            <v>2296</v>
          </cell>
          <cell r="J248" t="str">
            <v>Sh11</v>
          </cell>
          <cell r="K248" t="str">
            <v>Concentrate</v>
          </cell>
          <cell r="L248" t="str">
            <v>18%Compound</v>
          </cell>
          <cell r="M248">
            <v>0.86</v>
          </cell>
          <cell r="N248">
            <v>0</v>
          </cell>
          <cell r="O248">
            <v>62.732142857142854</v>
          </cell>
          <cell r="P248">
            <v>41</v>
          </cell>
          <cell r="Q248">
            <v>0</v>
          </cell>
          <cell r="S248">
            <v>1.5300522648083623</v>
          </cell>
          <cell r="T248">
            <v>2265816</v>
          </cell>
        </row>
        <row r="249">
          <cell r="A249" t="str">
            <v>SaleSheep10ProgenyLiveweight61.875,40472</v>
          </cell>
          <cell r="D249" t="str">
            <v>Home grown cereal</v>
          </cell>
          <cell r="E249">
            <v>40472</v>
          </cell>
          <cell r="F249" t="str">
            <v>TransIn</v>
          </cell>
          <cell r="G249">
            <v>0</v>
          </cell>
          <cell r="H249">
            <v>0</v>
          </cell>
          <cell r="I249">
            <v>1640</v>
          </cell>
          <cell r="J249" t="str">
            <v>Sh11</v>
          </cell>
          <cell r="K249" t="str">
            <v>Concentrate</v>
          </cell>
          <cell r="L249" t="str">
            <v>Barley/wheat/oats</v>
          </cell>
          <cell r="M249">
            <v>0.86</v>
          </cell>
          <cell r="N249">
            <v>17.2</v>
          </cell>
          <cell r="O249">
            <v>61.875</v>
          </cell>
          <cell r="P249">
            <v>41</v>
          </cell>
          <cell r="Q249">
            <v>2827.68</v>
          </cell>
          <cell r="S249">
            <v>1.5091463414634145</v>
          </cell>
          <cell r="T249">
            <v>1618880</v>
          </cell>
        </row>
        <row r="250">
          <cell r="A250" t="str">
            <v>SaleSheep10ProgenyLiveweight66.8461538461538,40486</v>
          </cell>
          <cell r="D250" t="str">
            <v>Homegrown Silage at variable cost</v>
          </cell>
          <cell r="E250">
            <v>40486</v>
          </cell>
          <cell r="F250" t="str">
            <v>Purchase</v>
          </cell>
          <cell r="G250">
            <v>1</v>
          </cell>
          <cell r="H250">
            <v>300</v>
          </cell>
          <cell r="I250">
            <v>4.3946378916569708</v>
          </cell>
          <cell r="J250" t="str">
            <v>Sh11</v>
          </cell>
          <cell r="K250" t="str">
            <v>OtherFeed</v>
          </cell>
          <cell r="L250" t="str">
            <v>Minerals</v>
          </cell>
          <cell r="M250">
            <v>0.88</v>
          </cell>
          <cell r="N250">
            <v>0.88</v>
          </cell>
          <cell r="O250">
            <v>66.84615384615384</v>
          </cell>
          <cell r="P250">
            <v>42</v>
          </cell>
          <cell r="Q250">
            <v>116.16</v>
          </cell>
          <cell r="S250">
            <v>1.5915750915750915</v>
          </cell>
          <cell r="T250">
            <v>3157908</v>
          </cell>
        </row>
        <row r="251">
          <cell r="A251" t="str">
            <v>SaleSheep10ProgenyLiveweight69.21,40499</v>
          </cell>
          <cell r="D251" t="str">
            <v>Homegrown Hay at variable cost</v>
          </cell>
          <cell r="E251">
            <v>40499</v>
          </cell>
          <cell r="F251" t="str">
            <v>Purchase</v>
          </cell>
          <cell r="G251">
            <v>0</v>
          </cell>
          <cell r="H251">
            <v>0</v>
          </cell>
          <cell r="I251">
            <v>0</v>
          </cell>
          <cell r="J251" t="str">
            <v>Sh11</v>
          </cell>
          <cell r="K251" t="str">
            <v>OtherFeed</v>
          </cell>
          <cell r="L251" t="str">
            <v>Draff</v>
          </cell>
          <cell r="M251">
            <v>0.22</v>
          </cell>
          <cell r="N251">
            <v>0</v>
          </cell>
          <cell r="O251">
            <v>69.209999999999994</v>
          </cell>
          <cell r="P251">
            <v>43</v>
          </cell>
          <cell r="Q251">
            <v>0</v>
          </cell>
          <cell r="S251">
            <v>1.60953488372093</v>
          </cell>
          <cell r="T251">
            <v>80998</v>
          </cell>
        </row>
        <row r="252">
          <cell r="A252" t="str">
            <v>SaleSheep10ProgenyLiveweight46,40513</v>
          </cell>
          <cell r="D252" t="str">
            <v>HomeGrownCartedSwedes</v>
          </cell>
          <cell r="E252">
            <v>40513</v>
          </cell>
          <cell r="F252" t="str">
            <v>TransIn</v>
          </cell>
          <cell r="G252">
            <v>0</v>
          </cell>
          <cell r="H252">
            <v>0</v>
          </cell>
          <cell r="I252">
            <v>0</v>
          </cell>
          <cell r="J252" t="str">
            <v>Sh11</v>
          </cell>
          <cell r="K252" t="str">
            <v>OtherForage</v>
          </cell>
          <cell r="L252" t="str">
            <v>Feed Straw</v>
          </cell>
          <cell r="M252">
            <v>0.86</v>
          </cell>
          <cell r="N252">
            <v>0</v>
          </cell>
          <cell r="O252">
            <v>46</v>
          </cell>
          <cell r="P252">
            <v>42</v>
          </cell>
          <cell r="Q252">
            <v>0</v>
          </cell>
          <cell r="S252">
            <v>1.0952380952380953</v>
          </cell>
          <cell r="T252">
            <v>486156</v>
          </cell>
        </row>
        <row r="253">
          <cell r="A253" t="str">
            <v>SaleSheep10ProgenyLiveweight72.741935483871,40514</v>
          </cell>
          <cell r="D253" t="str">
            <v>Purchased hay at market value</v>
          </cell>
          <cell r="E253">
            <v>40514</v>
          </cell>
          <cell r="F253" t="str">
            <v>Purchase</v>
          </cell>
          <cell r="G253">
            <v>0</v>
          </cell>
          <cell r="H253">
            <v>0</v>
          </cell>
          <cell r="I253">
            <v>0</v>
          </cell>
          <cell r="J253" t="str">
            <v>Sh11</v>
          </cell>
          <cell r="K253" t="str">
            <v>OtherForage</v>
          </cell>
          <cell r="L253" t="str">
            <v>Hay</v>
          </cell>
          <cell r="M253">
            <v>0.85</v>
          </cell>
          <cell r="N253">
            <v>0</v>
          </cell>
          <cell r="O253">
            <v>72.741935483870961</v>
          </cell>
          <cell r="P253">
            <v>44</v>
          </cell>
          <cell r="Q253">
            <v>0</v>
          </cell>
          <cell r="S253">
            <v>1.6532258064516128</v>
          </cell>
          <cell r="T253">
            <v>3767802</v>
          </cell>
        </row>
        <row r="254">
          <cell r="A254" t="str">
            <v>ExitSheep10ProgenyLiveweight,40440.625158831</v>
          </cell>
          <cell r="D254" t="str">
            <v>Purchased Silage at market value</v>
          </cell>
          <cell r="E254">
            <v>40440.625158831004</v>
          </cell>
          <cell r="F254" t="str">
            <v>Purchase</v>
          </cell>
          <cell r="G254">
            <v>0</v>
          </cell>
          <cell r="H254">
            <v>0</v>
          </cell>
          <cell r="I254">
            <v>0</v>
          </cell>
          <cell r="J254" t="str">
            <v>Sh11</v>
          </cell>
          <cell r="K254" t="str">
            <v>OtherForage</v>
          </cell>
          <cell r="L254" t="str">
            <v>Silage</v>
          </cell>
          <cell r="M254">
            <v>0.28000000000000003</v>
          </cell>
          <cell r="N254">
            <v>0</v>
          </cell>
          <cell r="O254">
            <v>1500</v>
          </cell>
          <cell r="P254">
            <v>0.06</v>
          </cell>
          <cell r="Q254">
            <v>0</v>
          </cell>
          <cell r="S254">
            <v>1.4117313568295264</v>
          </cell>
        </row>
        <row r="255">
          <cell r="A255" t="str">
            <v>Sheep10,</v>
          </cell>
          <cell r="D255" t="str">
            <v>Store Lambs</v>
          </cell>
          <cell r="F255" t="str">
            <v>Purchase</v>
          </cell>
          <cell r="G255">
            <v>0</v>
          </cell>
          <cell r="H255">
            <v>3027</v>
          </cell>
          <cell r="J255" t="str">
            <v>Sheep10</v>
          </cell>
          <cell r="K255" t="str">
            <v>OtherForage</v>
          </cell>
          <cell r="L255" t="str">
            <v>Roots</v>
          </cell>
          <cell r="M255">
            <v>0.18</v>
          </cell>
          <cell r="N255">
            <v>0</v>
          </cell>
          <cell r="O255">
            <v>3300</v>
          </cell>
          <cell r="P255">
            <v>0.04</v>
          </cell>
          <cell r="Q255">
            <v>0</v>
          </cell>
        </row>
        <row r="256">
          <cell r="A256" t="str">
            <v>SaleSheep10ProgenyStore,0</v>
          </cell>
          <cell r="D256" t="str">
            <v>Bedding</v>
          </cell>
          <cell r="E256">
            <v>0</v>
          </cell>
          <cell r="F256" t="str">
            <v>Purchase</v>
          </cell>
          <cell r="G256">
            <v>22</v>
          </cell>
          <cell r="H256">
            <v>0</v>
          </cell>
          <cell r="I256">
            <v>0</v>
          </cell>
          <cell r="J256" t="str">
            <v>Sh11</v>
          </cell>
          <cell r="K256" t="str">
            <v>Bedding</v>
          </cell>
          <cell r="L256" t="str">
            <v>Store</v>
          </cell>
          <cell r="M256">
            <v>0.86</v>
          </cell>
          <cell r="N256">
            <v>18.919999999999998</v>
          </cell>
          <cell r="O256">
            <v>0</v>
          </cell>
          <cell r="P256">
            <v>0</v>
          </cell>
          <cell r="Q256">
            <v>3110.4479999999994</v>
          </cell>
        </row>
        <row r="257">
          <cell r="A257" t="str">
            <v>TransOutSheep10ProgenyStore,0</v>
          </cell>
          <cell r="D257" t="str">
            <v>Bedding</v>
          </cell>
          <cell r="E257">
            <v>0</v>
          </cell>
          <cell r="F257" t="str">
            <v>Purchase</v>
          </cell>
          <cell r="G257">
            <v>0</v>
          </cell>
          <cell r="H257">
            <v>0</v>
          </cell>
          <cell r="I257">
            <v>0</v>
          </cell>
          <cell r="J257" t="str">
            <v>Sh11</v>
          </cell>
          <cell r="K257" t="str">
            <v>Bedding</v>
          </cell>
          <cell r="L257" t="str">
            <v>Store</v>
          </cell>
          <cell r="M257">
            <v>0.86</v>
          </cell>
          <cell r="N257">
            <v>0</v>
          </cell>
          <cell r="O257">
            <v>0</v>
          </cell>
          <cell r="P257">
            <v>0</v>
          </cell>
          <cell r="Q257">
            <v>0</v>
          </cell>
        </row>
        <row r="258">
          <cell r="A258" t="str">
            <v>ExitSheep10ProgenyStore,0</v>
          </cell>
          <cell r="D258" t="str">
            <v>Homegrown Silage at variable cost</v>
          </cell>
          <cell r="E258">
            <v>0</v>
          </cell>
          <cell r="F258" t="str">
            <v>TransIn</v>
          </cell>
          <cell r="G258">
            <v>112</v>
          </cell>
          <cell r="H258">
            <v>0</v>
          </cell>
          <cell r="I258">
            <v>4.1626755752829112</v>
          </cell>
          <cell r="J258" t="str">
            <v>sH12</v>
          </cell>
          <cell r="K258" t="str">
            <v>SundryEnterpriseCosts</v>
          </cell>
          <cell r="L258" t="str">
            <v>Store</v>
          </cell>
          <cell r="S258">
            <v>0</v>
          </cell>
        </row>
        <row r="259">
          <cell r="A259" t="str">
            <v>Sheep10,</v>
          </cell>
          <cell r="D259" t="str">
            <v>Breeding Lambs</v>
          </cell>
          <cell r="F259" t="str">
            <v>TransIn</v>
          </cell>
          <cell r="G259">
            <v>63.287343832021001</v>
          </cell>
          <cell r="H259">
            <v>0</v>
          </cell>
          <cell r="I259">
            <v>0</v>
          </cell>
          <cell r="J259" t="str">
            <v>Sheep10</v>
          </cell>
          <cell r="K259" t="str">
            <v>FixedCosts</v>
          </cell>
          <cell r="L259" t="str">
            <v>Ewe</v>
          </cell>
        </row>
        <row r="260">
          <cell r="A260" t="str">
            <v>SaleSheep10ProgenyBreeding,0</v>
          </cell>
          <cell r="D260" t="str">
            <v>HomeGrownCartedSwedes</v>
          </cell>
          <cell r="E260">
            <v>0</v>
          </cell>
          <cell r="F260" t="str">
            <v>TransIn</v>
          </cell>
          <cell r="G260">
            <v>0</v>
          </cell>
          <cell r="H260">
            <v>0</v>
          </cell>
          <cell r="I260">
            <v>0</v>
          </cell>
          <cell r="J260" t="str">
            <v>sH12</v>
          </cell>
          <cell r="K260" t="str">
            <v>Wages</v>
          </cell>
          <cell r="L260" t="str">
            <v>Breeding</v>
          </cell>
          <cell r="O260">
            <v>0</v>
          </cell>
          <cell r="P260">
            <v>0</v>
          </cell>
        </row>
        <row r="261">
          <cell r="A261" t="str">
            <v>TransOutSheep10ProgenyBreeding,40422</v>
          </cell>
          <cell r="D261" t="str">
            <v>HomeGrown grazed turnips</v>
          </cell>
          <cell r="E261">
            <v>40422</v>
          </cell>
          <cell r="F261" t="str">
            <v>TransIn</v>
          </cell>
          <cell r="G261">
            <v>43.163546153422367</v>
          </cell>
          <cell r="H261">
            <v>455</v>
          </cell>
          <cell r="I261">
            <v>7</v>
          </cell>
          <cell r="J261" t="str">
            <v>sH12</v>
          </cell>
          <cell r="K261" t="str">
            <v>Contract</v>
          </cell>
          <cell r="L261" t="str">
            <v>Breeding</v>
          </cell>
          <cell r="O261">
            <v>69.729729729729726</v>
          </cell>
          <cell r="P261">
            <v>35</v>
          </cell>
        </row>
        <row r="262">
          <cell r="A262" t="str">
            <v>ExitSheep10ProgenyBreeding,40422</v>
          </cell>
          <cell r="D262" t="str">
            <v>Grazing not included in grass below</v>
          </cell>
          <cell r="E262">
            <v>40422</v>
          </cell>
          <cell r="F262" t="str">
            <v>TransIn</v>
          </cell>
          <cell r="G262">
            <v>92.566477700613859</v>
          </cell>
          <cell r="H262">
            <v>0</v>
          </cell>
          <cell r="I262">
            <v>0</v>
          </cell>
          <cell r="J262" t="str">
            <v>sH12</v>
          </cell>
          <cell r="K262" t="str">
            <v>Machinery</v>
          </cell>
          <cell r="L262" t="str">
            <v>Breeding</v>
          </cell>
          <cell r="S262">
            <v>1.9922779922779921</v>
          </cell>
        </row>
        <row r="263">
          <cell r="A263" t="str">
            <v>PurchaseSh11Vet&amp;Med,</v>
          </cell>
          <cell r="D263" t="str">
            <v>Vet&amp;Med</v>
          </cell>
          <cell r="F263" t="str">
            <v>Purchase</v>
          </cell>
          <cell r="G263">
            <v>8.3963315677792547</v>
          </cell>
          <cell r="H263">
            <v>2105</v>
          </cell>
          <cell r="J263" t="str">
            <v>Sheep10</v>
          </cell>
          <cell r="K263" t="str">
            <v>Vet&amp;Med</v>
          </cell>
        </row>
        <row r="264">
          <cell r="A264" t="str">
            <v>PurchaseSh11Marketing,</v>
          </cell>
          <cell r="D264" t="str">
            <v>haulageandcommissiom</v>
          </cell>
          <cell r="F264" t="str">
            <v>Purchase</v>
          </cell>
          <cell r="G264">
            <v>7.7659911333653273</v>
          </cell>
          <cell r="H264">
            <v>2653</v>
          </cell>
          <cell r="J264" t="str">
            <v>Sheep10</v>
          </cell>
          <cell r="K264" t="str">
            <v>Marketing</v>
          </cell>
        </row>
        <row r="265">
          <cell r="A265" t="str">
            <v>PurchaseSh11SundryEnterpriseCosts,</v>
          </cell>
          <cell r="D265" t="str">
            <v>Share of decoupled subsidies alloacated in "Fixed Cost Calculator":-</v>
          </cell>
          <cell r="F265" t="str">
            <v>Purchase</v>
          </cell>
          <cell r="G265">
            <v>79.122498122879335</v>
          </cell>
          <cell r="H265">
            <v>0</v>
          </cell>
          <cell r="J265" t="str">
            <v>Sheep10</v>
          </cell>
          <cell r="K265" t="str">
            <v>SundryEnterpriseCosts</v>
          </cell>
        </row>
        <row r="266">
          <cell r="A266" t="str">
            <v>SaleSheep10OtherIncomeSFPForage area,</v>
          </cell>
          <cell r="D266" t="str">
            <v>Allocated from "FixedCost Calculator"</v>
          </cell>
          <cell r="F266" t="str">
            <v>Sale</v>
          </cell>
          <cell r="G266">
            <v>280.71939793140035</v>
          </cell>
          <cell r="H266">
            <v>17519.315424779448</v>
          </cell>
          <cell r="J266" t="str">
            <v>Sheep10</v>
          </cell>
          <cell r="K266" t="str">
            <v>OtherIncome</v>
          </cell>
          <cell r="L266" t="str">
            <v>SFP</v>
          </cell>
          <cell r="N266">
            <v>6</v>
          </cell>
          <cell r="O266" t="str">
            <v>Forage area</v>
          </cell>
        </row>
        <row r="267">
          <cell r="A267" t="str">
            <v>SaleSheep10OtherIncomeHFAS/LFAS,</v>
          </cell>
          <cell r="D267" t="str">
            <v>Allocated from "FixedCost Calculator"</v>
          </cell>
          <cell r="F267" t="str">
            <v>Sale</v>
          </cell>
          <cell r="G267">
            <v>48.918428090290703</v>
          </cell>
          <cell r="H267">
            <v>3052.9324945603662</v>
          </cell>
          <cell r="J267" t="str">
            <v>Sheep10</v>
          </cell>
          <cell r="K267" t="str">
            <v>OtherIncome</v>
          </cell>
          <cell r="L267" t="str">
            <v>HFAS/LFAS</v>
          </cell>
        </row>
        <row r="268">
          <cell r="A268" t="str">
            <v>SaleSheep10OtherIncomeELS/LMC,</v>
          </cell>
          <cell r="D268" t="str">
            <v>Allocated from "FixedCost Calculator"</v>
          </cell>
          <cell r="F268" t="str">
            <v>Sale</v>
          </cell>
          <cell r="G268">
            <v>0</v>
          </cell>
          <cell r="H268">
            <v>0</v>
          </cell>
          <cell r="J268" t="str">
            <v>Sheep10</v>
          </cell>
          <cell r="K268" t="str">
            <v>OtherIncome</v>
          </cell>
          <cell r="L268" t="str">
            <v>ELS/LMC</v>
          </cell>
        </row>
        <row r="269">
          <cell r="A269" t="str">
            <v>SaleSheep10OtherIncomeOrganicProductionGrant,</v>
          </cell>
          <cell r="D269" t="str">
            <v>Allocated from "FixedCost Calculator"</v>
          </cell>
          <cell r="F269" t="str">
            <v>Sale</v>
          </cell>
          <cell r="G269">
            <v>0</v>
          </cell>
          <cell r="H269">
            <v>0</v>
          </cell>
          <cell r="J269" t="str">
            <v>Sheep10</v>
          </cell>
          <cell r="K269" t="str">
            <v>OtherIncome</v>
          </cell>
          <cell r="L269" t="str">
            <v>OrganicProductionGrant</v>
          </cell>
        </row>
        <row r="270">
          <cell r="A270" t="str">
            <v>SaleSheep10OtherIncomeEnvironmentalSubsidy,</v>
          </cell>
          <cell r="D270" t="str">
            <v>Allocated from "FixedCost Calculator"</v>
          </cell>
          <cell r="F270" t="str">
            <v>Sale</v>
          </cell>
          <cell r="G270">
            <v>0</v>
          </cell>
          <cell r="H270">
            <v>0</v>
          </cell>
          <cell r="I270" t="str">
            <v>ENTERPRISE</v>
          </cell>
          <cell r="J270" t="str">
            <v>Sheep10</v>
          </cell>
          <cell r="K270" t="str">
            <v>OtherIncome</v>
          </cell>
          <cell r="L270" t="str">
            <v>EnvironmentalSubsidy</v>
          </cell>
        </row>
        <row r="271">
          <cell r="A271" t="str">
            <v>SaleSheep10OtherIncomeSundryFarmIncome,</v>
          </cell>
          <cell r="D271" t="str">
            <v>Allocated from "FixedCost Calculator"</v>
          </cell>
          <cell r="F271" t="str">
            <v>Sale</v>
          </cell>
          <cell r="G271">
            <v>0</v>
          </cell>
          <cell r="H271">
            <v>0</v>
          </cell>
          <cell r="I271">
            <v>0</v>
          </cell>
          <cell r="J271" t="str">
            <v>Sheep10</v>
          </cell>
          <cell r="K271" t="str">
            <v>OtherIncome</v>
          </cell>
          <cell r="L271" t="str">
            <v>SundryFarmIncome</v>
          </cell>
        </row>
        <row r="272">
          <cell r="A272" t="str">
            <v>Sheep10,</v>
          </cell>
          <cell r="D272" t="str">
            <v>Wool</v>
          </cell>
          <cell r="F272" t="str">
            <v>Purchase</v>
          </cell>
          <cell r="G272">
            <v>41.588086208669722</v>
          </cell>
          <cell r="H272">
            <v>2553.8921989295222</v>
          </cell>
          <cell r="I272">
            <v>2300.8231265692111</v>
          </cell>
          <cell r="J272" t="str">
            <v>Sheep10</v>
          </cell>
          <cell r="K272" t="str">
            <v>Property</v>
          </cell>
        </row>
        <row r="273">
          <cell r="A273" t="str">
            <v>SaleSheep10Wool,</v>
          </cell>
          <cell r="D273" t="str">
            <v>Wool from ewes and tups</v>
          </cell>
          <cell r="F273" t="str">
            <v>Sale</v>
          </cell>
          <cell r="G273">
            <v>1.5</v>
          </cell>
          <cell r="H273">
            <v>1240</v>
          </cell>
          <cell r="I273">
            <v>0</v>
          </cell>
          <cell r="J273" t="str">
            <v>Sheep10</v>
          </cell>
          <cell r="K273" t="str">
            <v>Wool</v>
          </cell>
        </row>
        <row r="274">
          <cell r="A274" t="str">
            <v>Sheep10,</v>
          </cell>
          <cell r="D274" t="str">
            <v>Variable Costs</v>
          </cell>
          <cell r="F274" t="str">
            <v>Purchase</v>
          </cell>
          <cell r="G274">
            <v>146.55778189655553</v>
          </cell>
          <cell r="H274">
            <v>9000</v>
          </cell>
          <cell r="J274" t="str">
            <v>Sheep10</v>
          </cell>
          <cell r="K274" t="str">
            <v>Depreciation</v>
          </cell>
        </row>
        <row r="275">
          <cell r="A275" t="str">
            <v>Sheep10,</v>
          </cell>
          <cell r="D275" t="str">
            <v>Finance</v>
          </cell>
          <cell r="F275" t="str">
            <v>Purchase</v>
          </cell>
          <cell r="G275">
            <v>2.9662972151716875</v>
          </cell>
          <cell r="H275">
            <v>182.15801707062153</v>
          </cell>
          <cell r="I275">
            <v>6033.6959999999999</v>
          </cell>
          <cell r="J275" t="str">
            <v>Sheep10</v>
          </cell>
          <cell r="K275" t="str">
            <v>Finance</v>
          </cell>
        </row>
        <row r="276">
          <cell r="A276" t="str">
            <v>PurchaseSheep10Concentrate16%Compound3300,</v>
          </cell>
          <cell r="D276" t="str">
            <v>ewe feed</v>
          </cell>
          <cell r="E276">
            <v>34.115574382428193</v>
          </cell>
          <cell r="F276" t="str">
            <v>Purchase</v>
          </cell>
          <cell r="G276">
            <v>22</v>
          </cell>
          <cell r="H276">
            <v>4158</v>
          </cell>
          <cell r="J276" t="str">
            <v>Sheep10</v>
          </cell>
          <cell r="K276" t="str">
            <v>Concentrate</v>
          </cell>
          <cell r="L276" t="str">
            <v>16%Compound</v>
          </cell>
          <cell r="M276">
            <v>0.88</v>
          </cell>
          <cell r="N276">
            <v>19.36</v>
          </cell>
          <cell r="O276">
            <v>3300</v>
          </cell>
          <cell r="P276">
            <v>0.04</v>
          </cell>
          <cell r="Q276">
            <v>2555.52</v>
          </cell>
        </row>
        <row r="277">
          <cell r="A277" t="str">
            <v>TransInSheep10ConcentrateBarley/wheat/oats3300,</v>
          </cell>
          <cell r="D277" t="str">
            <v>Home grown cereal</v>
          </cell>
          <cell r="E277">
            <v>1095.9964053567483</v>
          </cell>
          <cell r="F277" t="str">
            <v>TransIn</v>
          </cell>
          <cell r="G277">
            <v>0</v>
          </cell>
          <cell r="H277">
            <v>0</v>
          </cell>
          <cell r="I277">
            <v>3561.9883174094321</v>
          </cell>
          <cell r="J277" t="str">
            <v>Sheep10</v>
          </cell>
          <cell r="K277" t="str">
            <v>Concentrate</v>
          </cell>
          <cell r="L277" t="str">
            <v>Barley/wheat/oats</v>
          </cell>
          <cell r="M277">
            <v>0.88</v>
          </cell>
          <cell r="N277">
            <v>0</v>
          </cell>
          <cell r="O277">
            <v>3300</v>
          </cell>
          <cell r="P277">
            <v>0.04</v>
          </cell>
          <cell r="Q277">
            <v>0</v>
          </cell>
        </row>
        <row r="278">
          <cell r="A278" t="str">
            <v>PurchaseSheep10OtherFeedMinerals3300,</v>
          </cell>
          <cell r="D278" t="str">
            <v>Direct CO2</v>
          </cell>
          <cell r="E278">
            <v>438.39856214269929</v>
          </cell>
          <cell r="F278" t="str">
            <v>Purchase</v>
          </cell>
          <cell r="G278">
            <v>1.25</v>
          </cell>
          <cell r="H278">
            <v>300</v>
          </cell>
          <cell r="I278" t="str">
            <v>ENTERPRISE</v>
          </cell>
          <cell r="J278" t="str">
            <v>Sheep10</v>
          </cell>
          <cell r="K278" t="str">
            <v>OtherFeed</v>
          </cell>
          <cell r="L278" t="str">
            <v>Minerals</v>
          </cell>
          <cell r="M278">
            <v>0.88</v>
          </cell>
          <cell r="N278">
            <v>1.1000000000000001</v>
          </cell>
          <cell r="O278">
            <v>3300</v>
          </cell>
          <cell r="P278">
            <v>0.04</v>
          </cell>
          <cell r="Q278">
            <v>145.20000000000002</v>
          </cell>
        </row>
        <row r="279">
          <cell r="A279" t="str">
            <v>PurchaseSheep10OtherFeedDraff3300,</v>
          </cell>
          <cell r="D279" t="str">
            <v>Fuel(Business)</v>
          </cell>
          <cell r="E279">
            <v>2118.9263836897135</v>
          </cell>
          <cell r="F279" t="str">
            <v>Purchase</v>
          </cell>
          <cell r="G279">
            <v>0</v>
          </cell>
          <cell r="H279">
            <v>0</v>
          </cell>
          <cell r="I279">
            <v>13334.232348297908</v>
          </cell>
          <cell r="J279" t="str">
            <v>Sheep10</v>
          </cell>
          <cell r="K279" t="str">
            <v>OtherFeed</v>
          </cell>
          <cell r="L279" t="str">
            <v>Draff</v>
          </cell>
          <cell r="M279">
            <v>0.22</v>
          </cell>
          <cell r="N279">
            <v>0</v>
          </cell>
          <cell r="O279">
            <v>3300</v>
          </cell>
          <cell r="P279">
            <v>0.04</v>
          </cell>
          <cell r="Q279">
            <v>0</v>
          </cell>
        </row>
        <row r="280">
          <cell r="A280" t="str">
            <v>TransInSheep10OtherForageFeed Straw2740,</v>
          </cell>
          <cell r="D280" t="str">
            <v>Fuel(Contractor)</v>
          </cell>
          <cell r="E280">
            <v>17997.980186005425</v>
          </cell>
          <cell r="F280" t="str">
            <v>TransIn</v>
          </cell>
          <cell r="G280">
            <v>0</v>
          </cell>
          <cell r="H280">
            <v>0</v>
          </cell>
          <cell r="I280">
            <v>1.7898298454091151</v>
          </cell>
          <cell r="J280" t="str">
            <v>Sheep10</v>
          </cell>
          <cell r="K280" t="str">
            <v>OtherForage</v>
          </cell>
          <cell r="L280" t="str">
            <v>Feed Straw</v>
          </cell>
          <cell r="M280">
            <v>0.86</v>
          </cell>
          <cell r="N280">
            <v>0</v>
          </cell>
          <cell r="O280">
            <v>2740</v>
          </cell>
          <cell r="P280">
            <v>0.06</v>
          </cell>
          <cell r="Q280">
            <v>0</v>
          </cell>
        </row>
        <row r="281">
          <cell r="A281" t="str">
            <v>PurchaseSheep10OtherForageHay1500,</v>
          </cell>
          <cell r="D281" t="str">
            <v>Purchased hay at market value</v>
          </cell>
          <cell r="F281" t="str">
            <v>Purchase</v>
          </cell>
          <cell r="G281">
            <v>0</v>
          </cell>
          <cell r="H281">
            <v>0</v>
          </cell>
          <cell r="I281">
            <v>1249.1875154045204</v>
          </cell>
          <cell r="J281" t="str">
            <v>Sheep10</v>
          </cell>
          <cell r="K281" t="str">
            <v>OtherForage</v>
          </cell>
          <cell r="L281" t="str">
            <v>Hay</v>
          </cell>
          <cell r="M281">
            <v>0.85</v>
          </cell>
          <cell r="N281">
            <v>0</v>
          </cell>
          <cell r="O281">
            <v>1500</v>
          </cell>
          <cell r="P281">
            <v>0.06</v>
          </cell>
          <cell r="Q281">
            <v>0</v>
          </cell>
        </row>
        <row r="282">
          <cell r="A282" t="str">
            <v>PurchaseSheep10OtherForageSilage1500,</v>
          </cell>
          <cell r="D282" t="str">
            <v>Purchased Silage at market value</v>
          </cell>
          <cell r="F282" t="str">
            <v>Purchase</v>
          </cell>
          <cell r="G282">
            <v>0</v>
          </cell>
          <cell r="H282">
            <v>0</v>
          </cell>
          <cell r="J282" t="str">
            <v>Sheep10</v>
          </cell>
          <cell r="K282" t="str">
            <v>OtherForage</v>
          </cell>
          <cell r="L282" t="str">
            <v>Silage</v>
          </cell>
          <cell r="M282">
            <v>0.28000000000000003</v>
          </cell>
          <cell r="N282">
            <v>0</v>
          </cell>
          <cell r="O282" t="str">
            <v>Progeny</v>
          </cell>
          <cell r="P282">
            <v>0.06</v>
          </cell>
          <cell r="Q282">
            <v>0</v>
          </cell>
        </row>
        <row r="283">
          <cell r="A283" t="str">
            <v>PurchaseSheep10OtherForageRoots3300,</v>
          </cell>
          <cell r="D283" t="str">
            <v>Purchased roots at market value</v>
          </cell>
          <cell r="F283" t="str">
            <v>Purchase</v>
          </cell>
          <cell r="G283">
            <v>0</v>
          </cell>
          <cell r="H283">
            <v>0</v>
          </cell>
          <cell r="I283">
            <v>5549.8079999999991</v>
          </cell>
          <cell r="J283" t="str">
            <v>Sheep10</v>
          </cell>
          <cell r="K283" t="str">
            <v>OtherForage</v>
          </cell>
          <cell r="L283" t="str">
            <v>Roots</v>
          </cell>
          <cell r="M283">
            <v>0.18</v>
          </cell>
          <cell r="N283">
            <v>0</v>
          </cell>
          <cell r="O283">
            <v>3300</v>
          </cell>
          <cell r="P283">
            <v>0.04</v>
          </cell>
          <cell r="Q283">
            <v>0</v>
          </cell>
          <cell r="R283">
            <v>32350.500000000004</v>
          </cell>
        </row>
        <row r="284">
          <cell r="A284" t="str">
            <v>TransInSheep10Bedding2740,</v>
          </cell>
          <cell r="D284" t="str">
            <v>Bedding</v>
          </cell>
          <cell r="E284">
            <v>44.007375858854353</v>
          </cell>
          <cell r="F284" t="str">
            <v>TransIn</v>
          </cell>
          <cell r="G284">
            <v>0</v>
          </cell>
          <cell r="H284">
            <v>0</v>
          </cell>
          <cell r="J284" t="str">
            <v>Sheep10</v>
          </cell>
          <cell r="K284" t="str">
            <v>Bedding</v>
          </cell>
          <cell r="M284">
            <v>0.86</v>
          </cell>
          <cell r="N284">
            <v>0</v>
          </cell>
          <cell r="O284">
            <v>2740</v>
          </cell>
          <cell r="P284">
            <v>0.06</v>
          </cell>
          <cell r="Q284">
            <v>0</v>
          </cell>
        </row>
        <row r="285">
          <cell r="A285" t="str">
            <v>PurchaseSheep10Bedding2740,</v>
          </cell>
          <cell r="D285" t="str">
            <v>Bedding</v>
          </cell>
          <cell r="E285">
            <v>3430.4962283673863</v>
          </cell>
          <cell r="F285" t="str">
            <v>Purchase</v>
          </cell>
          <cell r="G285">
            <v>20</v>
          </cell>
          <cell r="H285">
            <v>1200</v>
          </cell>
          <cell r="I285">
            <v>5773.9439197919264</v>
          </cell>
          <cell r="J285" t="str">
            <v>Sheep10</v>
          </cell>
          <cell r="K285" t="str">
            <v>Bedding</v>
          </cell>
          <cell r="L285">
            <v>32.125984251968504</v>
          </cell>
          <cell r="M285">
            <v>0.86</v>
          </cell>
          <cell r="N285">
            <v>17.2</v>
          </cell>
          <cell r="O285">
            <v>2740</v>
          </cell>
          <cell r="P285">
            <v>0.06</v>
          </cell>
          <cell r="Q285">
            <v>2827.68</v>
          </cell>
        </row>
        <row r="286">
          <cell r="A286" t="str">
            <v>TransInSheep10Silage,</v>
          </cell>
          <cell r="D286" t="str">
            <v>Homegrown Silage at variable cost</v>
          </cell>
          <cell r="E286">
            <v>1538.5255812071916</v>
          </cell>
          <cell r="F286" t="str">
            <v>TransIn</v>
          </cell>
          <cell r="G286">
            <v>11</v>
          </cell>
          <cell r="H286">
            <v>56.548509687686774</v>
          </cell>
          <cell r="I286">
            <v>0.42658698792157512</v>
          </cell>
          <cell r="J286" t="str">
            <v>Sheep10</v>
          </cell>
          <cell r="K286" t="str">
            <v>Silage</v>
          </cell>
        </row>
        <row r="287">
          <cell r="A287" t="str">
            <v>TransInSheep10Hay,</v>
          </cell>
          <cell r="D287" t="str">
            <v>Homegrown Hay at variable cost</v>
          </cell>
          <cell r="E287">
            <v>810.84456306865502</v>
          </cell>
          <cell r="F287" t="str">
            <v>TransIn</v>
          </cell>
          <cell r="G287">
            <v>0</v>
          </cell>
          <cell r="H287">
            <v>0</v>
          </cell>
          <cell r="I287">
            <v>0</v>
          </cell>
          <cell r="J287" t="str">
            <v>Sheep10</v>
          </cell>
          <cell r="K287" t="str">
            <v>Hay</v>
          </cell>
          <cell r="L287" t="str">
            <v>Solid Storage</v>
          </cell>
          <cell r="M287" t="str">
            <v>Grazing</v>
          </cell>
          <cell r="O287" t="str">
            <v>Liquid System</v>
          </cell>
          <cell r="P287" t="str">
            <v>Solid Storage</v>
          </cell>
          <cell r="Q287" t="str">
            <v>Grazing</v>
          </cell>
        </row>
        <row r="288">
          <cell r="A288" t="str">
            <v>TransInSheep10Roots,</v>
          </cell>
          <cell r="D288" t="str">
            <v>HomeGrownCartedSwedes</v>
          </cell>
          <cell r="E288">
            <v>4643.2979252649475</v>
          </cell>
          <cell r="F288" t="str">
            <v>TransIn</v>
          </cell>
          <cell r="G288">
            <v>0</v>
          </cell>
          <cell r="H288">
            <v>0</v>
          </cell>
          <cell r="I288">
            <v>0</v>
          </cell>
          <cell r="J288" t="str">
            <v>Sheep10</v>
          </cell>
          <cell r="K288" t="str">
            <v>Roots</v>
          </cell>
          <cell r="L288">
            <v>0.02</v>
          </cell>
          <cell r="M288">
            <v>0.98</v>
          </cell>
          <cell r="N288">
            <v>0.02</v>
          </cell>
          <cell r="O288">
            <v>0</v>
          </cell>
          <cell r="P288">
            <v>0.02</v>
          </cell>
          <cell r="Q288">
            <v>0.98</v>
          </cell>
          <cell r="R288">
            <v>0.02</v>
          </cell>
        </row>
        <row r="289">
          <cell r="A289" t="str">
            <v>TransInSheep10Roots,</v>
          </cell>
          <cell r="D289" t="str">
            <v>HomeGrown grazed turnips</v>
          </cell>
          <cell r="F289" t="str">
            <v>TransIn</v>
          </cell>
          <cell r="H289">
            <v>275</v>
          </cell>
          <cell r="I289">
            <v>15026.197206836128</v>
          </cell>
          <cell r="J289" t="str">
            <v>Sh11</v>
          </cell>
          <cell r="K289">
            <v>10.199999999999999</v>
          </cell>
          <cell r="L289">
            <v>5987.4</v>
          </cell>
          <cell r="M289">
            <v>188.17542857142854</v>
          </cell>
          <cell r="N289">
            <v>56076.277714285708</v>
          </cell>
          <cell r="O289">
            <v>0</v>
          </cell>
          <cell r="P289">
            <v>0</v>
          </cell>
          <cell r="Q289">
            <v>0</v>
          </cell>
          <cell r="R289">
            <v>0</v>
          </cell>
        </row>
        <row r="290">
          <cell r="A290" t="str">
            <v>TransInSheep10Grazing,</v>
          </cell>
          <cell r="D290" t="str">
            <v>Grazing not included in grass below</v>
          </cell>
          <cell r="F290" t="str">
            <v>TransIn</v>
          </cell>
          <cell r="H290">
            <v>0</v>
          </cell>
          <cell r="I290">
            <v>0</v>
          </cell>
          <cell r="J290" t="str">
            <v>Sh11</v>
          </cell>
          <cell r="K290" t="str">
            <v>Ewes</v>
          </cell>
          <cell r="L290" t="str">
            <v>From animals</v>
          </cell>
          <cell r="O290" t="str">
            <v>Progeny</v>
          </cell>
        </row>
        <row r="291">
          <cell r="A291" t="str">
            <v>PurchaseSheep10Vet&amp;Med,</v>
          </cell>
          <cell r="D291" t="str">
            <v>Vet&amp;Med</v>
          </cell>
          <cell r="F291" t="str">
            <v>Purchase</v>
          </cell>
          <cell r="H291">
            <v>1402</v>
          </cell>
          <cell r="I291">
            <v>147706.65</v>
          </cell>
          <cell r="J291" t="str">
            <v>Sheep10</v>
          </cell>
          <cell r="K291" t="str">
            <v>Vet&amp;Med</v>
          </cell>
          <cell r="L291">
            <v>1496.85</v>
          </cell>
          <cell r="M291">
            <v>4840.29</v>
          </cell>
          <cell r="N291">
            <v>121007.25</v>
          </cell>
          <cell r="O291">
            <v>326</v>
          </cell>
          <cell r="P291">
            <v>3.2760000000000002</v>
          </cell>
          <cell r="Q291">
            <v>1067.9760000000001</v>
          </cell>
          <cell r="R291">
            <v>26699.4</v>
          </cell>
        </row>
        <row r="292">
          <cell r="A292" t="str">
            <v>PurchaseSheep10Marketing,</v>
          </cell>
          <cell r="D292" t="str">
            <v>haulageandcommissiom</v>
          </cell>
          <cell r="F292" t="str">
            <v>Purchase</v>
          </cell>
          <cell r="H292">
            <v>0</v>
          </cell>
          <cell r="J292" t="str">
            <v>Sheep10</v>
          </cell>
          <cell r="K292" t="str">
            <v>Marketing</v>
          </cell>
          <cell r="L292" t="str">
            <v>Volatisation % from N fertiliser</v>
          </cell>
          <cell r="M292" t="str">
            <v>From N fertiliser allocated to enterprise</v>
          </cell>
          <cell r="N292" t="str">
            <v>Indirect emissions: volatisation (EF4)</v>
          </cell>
          <cell r="O292" t="str">
            <v>from animals + fertiliser</v>
          </cell>
          <cell r="P292" t="str">
            <v>volatile from animals + fertiliser</v>
          </cell>
          <cell r="Q292" t="str">
            <v>GWP coefficient NO2</v>
          </cell>
          <cell r="R292" t="str">
            <v>volatile from excreta and fertiliser</v>
          </cell>
        </row>
        <row r="293">
          <cell r="A293" t="str">
            <v>PurchaseSheep10SundryEnterpriseCosts,</v>
          </cell>
          <cell r="D293" t="str">
            <v>Lambing sundries</v>
          </cell>
          <cell r="F293" t="str">
            <v>Purchase</v>
          </cell>
          <cell r="H293">
            <v>0</v>
          </cell>
          <cell r="I293">
            <v>18072.589237374039</v>
          </cell>
          <cell r="J293" t="str">
            <v>Sheep10</v>
          </cell>
          <cell r="K293" t="str">
            <v>SundryEnterpriseCosts</v>
          </cell>
          <cell r="L293">
            <v>77.952755905511808</v>
          </cell>
          <cell r="M293">
            <v>70.157480314960623</v>
          </cell>
          <cell r="N293">
            <v>1.2500000000000001E-2</v>
          </cell>
          <cell r="O293">
            <v>38.593082569133095</v>
          </cell>
          <cell r="P293">
            <v>60.646272608637716</v>
          </cell>
          <cell r="Q293">
            <v>18072.589237374039</v>
          </cell>
          <cell r="R293">
            <v>7522.7741738227733</v>
          </cell>
        </row>
        <row r="294">
          <cell r="A294" t="str">
            <v>PurchaseSheep10SundryEnterpriseCosts,</v>
          </cell>
          <cell r="D294" t="str">
            <v>Agisted keep</v>
          </cell>
          <cell r="F294" t="str">
            <v>Purchase</v>
          </cell>
          <cell r="H294">
            <v>0</v>
          </cell>
          <cell r="J294" t="str">
            <v>Sheep10</v>
          </cell>
          <cell r="K294" t="str">
            <v>SundryEnterpriseCosts</v>
          </cell>
          <cell r="L294" t="str">
            <v>% lost from leaching</v>
          </cell>
          <cell r="N294" t="str">
            <v>Indirect emissions from leaching (EF5)</v>
          </cell>
          <cell r="O294" t="str">
            <v>kgN2O-N</v>
          </cell>
          <cell r="P294" t="str">
            <v>kgN2O</v>
          </cell>
          <cell r="R294" t="str">
            <v>from leaching</v>
          </cell>
          <cell r="T294" t="str">
            <v>Deadweight</v>
          </cell>
          <cell r="U294" t="str">
            <v>liveweight</v>
          </cell>
          <cell r="V294" t="str">
            <v>KO%</v>
          </cell>
        </row>
        <row r="295">
          <cell r="A295" t="str">
            <v>Sheep10FixedCostsEwe,</v>
          </cell>
          <cell r="D295" t="str">
            <v>Fixed Costs</v>
          </cell>
          <cell r="G295">
            <v>62.408638497652589</v>
          </cell>
          <cell r="I295">
            <v>19235.819459018017</v>
          </cell>
          <cell r="J295" t="str">
            <v>Sheep10</v>
          </cell>
          <cell r="K295" t="str">
            <v>FixedCosts</v>
          </cell>
          <cell r="L295" t="str">
            <v>Ewe</v>
          </cell>
          <cell r="M295" t="str">
            <v>Grazing</v>
          </cell>
          <cell r="N295">
            <v>2.5000000000000001E-2</v>
          </cell>
          <cell r="O295" t="str">
            <v>Liquid System</v>
          </cell>
          <cell r="P295" t="str">
            <v>Solid Storage</v>
          </cell>
          <cell r="Q295" t="str">
            <v>Grazing</v>
          </cell>
          <cell r="R295">
            <v>19235.819459018017</v>
          </cell>
          <cell r="S295" t="str">
            <v>kgCO2/kgDeadwt</v>
          </cell>
          <cell r="T295">
            <v>134.9668137338162</v>
          </cell>
          <cell r="U295">
            <v>249.93854395151146</v>
          </cell>
          <cell r="V295">
            <v>0.54</v>
          </cell>
        </row>
        <row r="296">
          <cell r="A296" t="str">
            <v>PurchaseSheep10Wages,</v>
          </cell>
          <cell r="D296" t="str">
            <v>Wages</v>
          </cell>
          <cell r="F296" t="str">
            <v>Purchase</v>
          </cell>
          <cell r="G296">
            <v>28.027628372497034</v>
          </cell>
          <cell r="H296">
            <v>1749.1661270457184</v>
          </cell>
          <cell r="I296">
            <v>88608.815266918435</v>
          </cell>
          <cell r="J296" t="str">
            <v>Sheep10</v>
          </cell>
          <cell r="K296" t="str">
            <v>Wages</v>
          </cell>
          <cell r="L296">
            <v>0.02</v>
          </cell>
          <cell r="M296">
            <v>0.98</v>
          </cell>
          <cell r="N296">
            <v>0.02</v>
          </cell>
          <cell r="O296">
            <v>0</v>
          </cell>
          <cell r="P296">
            <v>0.02</v>
          </cell>
          <cell r="Q296">
            <v>0.98</v>
          </cell>
          <cell r="R296">
            <v>0.02</v>
          </cell>
        </row>
        <row r="297">
          <cell r="A297" t="str">
            <v>PurchaseSheep10Contract,</v>
          </cell>
          <cell r="D297" t="str">
            <v>Contract</v>
          </cell>
          <cell r="F297" t="str">
            <v>Purchase</v>
          </cell>
          <cell r="G297">
            <v>0</v>
          </cell>
          <cell r="H297">
            <v>0</v>
          </cell>
          <cell r="I297">
            <v>56458.398857142856</v>
          </cell>
          <cell r="J297" t="str">
            <v>Sheep10</v>
          </cell>
          <cell r="K297" t="str">
            <v>Contract</v>
          </cell>
          <cell r="L297">
            <v>6028.2</v>
          </cell>
          <cell r="M297">
            <v>189.45771428571427</v>
          </cell>
          <cell r="N297">
            <v>56458.398857142856</v>
          </cell>
          <cell r="O297">
            <v>0</v>
          </cell>
          <cell r="P297">
            <v>0</v>
          </cell>
          <cell r="Q297">
            <v>0</v>
          </cell>
          <cell r="R297">
            <v>0</v>
          </cell>
        </row>
        <row r="298">
          <cell r="A298" t="str">
            <v>PurchaseSheep10Machinery,</v>
          </cell>
          <cell r="D298" t="str">
            <v>Machinery</v>
          </cell>
          <cell r="F298" t="str">
            <v>Purchase</v>
          </cell>
          <cell r="G298">
            <v>118.16907195068092</v>
          </cell>
          <cell r="H298">
            <v>7374.7708929731434</v>
          </cell>
          <cell r="I298">
            <v>21337.549420475247</v>
          </cell>
          <cell r="J298" t="str">
            <v>Sheep10</v>
          </cell>
          <cell r="K298" t="str">
            <v>Machinery</v>
          </cell>
          <cell r="L298" t="str">
            <v>From animals</v>
          </cell>
          <cell r="M298" t="str">
            <v>Net liveweight</v>
          </cell>
          <cell r="N298" t="str">
            <v>KO%</v>
          </cell>
        </row>
        <row r="299">
          <cell r="A299" t="str">
            <v>PurchaseSheep10General,</v>
          </cell>
          <cell r="D299" t="str">
            <v>General</v>
          </cell>
          <cell r="F299" t="str">
            <v>Purchase</v>
          </cell>
          <cell r="G299">
            <v>4.9229562766347161</v>
          </cell>
          <cell r="H299">
            <v>307.2349986082458</v>
          </cell>
          <cell r="I299">
            <v>262485.11468739371</v>
          </cell>
          <cell r="J299" t="str">
            <v>Sheep10</v>
          </cell>
          <cell r="K299" t="str">
            <v>General</v>
          </cell>
          <cell r="L299">
            <v>1507.05</v>
          </cell>
          <cell r="M299">
            <v>32024.340425531918</v>
          </cell>
          <cell r="N299">
            <v>0.45</v>
          </cell>
        </row>
        <row r="300">
          <cell r="A300" t="str">
            <v>PurchaseSheep10Property,</v>
          </cell>
          <cell r="D300" t="str">
            <v>Property</v>
          </cell>
          <cell r="F300" t="str">
            <v>Purchase</v>
          </cell>
          <cell r="G300">
            <v>21.642886305745012</v>
          </cell>
          <cell r="H300">
            <v>1350.7030675010362</v>
          </cell>
          <cell r="J300" t="str">
            <v>Sheep10</v>
          </cell>
          <cell r="K300" t="str">
            <v>Property</v>
          </cell>
          <cell r="L300" t="str">
            <v>Volatisation % from N fertiliser</v>
          </cell>
          <cell r="M300" t="str">
            <v>From N fertiliser allocated to enterprise</v>
          </cell>
          <cell r="N300" t="str">
            <v>Indirect emissions: volatisation (EF4)</v>
          </cell>
          <cell r="O300" t="str">
            <v>from animals + fertiliser</v>
          </cell>
          <cell r="P300" t="str">
            <v>volatile from animals + fertiliser</v>
          </cell>
          <cell r="Q300" t="str">
            <v>GWP coefficient NO2</v>
          </cell>
          <cell r="R300" t="str">
            <v>volatile from excreta and fertiliser</v>
          </cell>
          <cell r="AB300">
            <v>28</v>
          </cell>
        </row>
        <row r="301">
          <cell r="A301" t="str">
            <v>PurchaseSheep10Land,</v>
          </cell>
          <cell r="D301" t="str">
            <v>Land</v>
          </cell>
          <cell r="E301">
            <v>41000</v>
          </cell>
          <cell r="F301" t="str">
            <v>Purchase</v>
          </cell>
          <cell r="G301">
            <v>93.137500404209433</v>
          </cell>
          <cell r="H301">
            <v>5812.5845933012788</v>
          </cell>
          <cell r="I301">
            <v>8663.7522337983264</v>
          </cell>
          <cell r="J301" t="str">
            <v>Sheep10</v>
          </cell>
          <cell r="K301" t="str">
            <v>Land</v>
          </cell>
          <cell r="L301">
            <v>0.1</v>
          </cell>
          <cell r="M301">
            <v>343.04962283673865</v>
          </cell>
          <cell r="N301">
            <v>0.01</v>
          </cell>
          <cell r="O301">
            <v>18.500996228367384</v>
          </cell>
          <cell r="P301">
            <v>29.072994073148749</v>
          </cell>
          <cell r="Q301">
            <v>298</v>
          </cell>
          <cell r="R301">
            <v>8663.7522337983264</v>
          </cell>
          <cell r="AB301">
            <v>41000</v>
          </cell>
          <cell r="AE301">
            <v>41030</v>
          </cell>
          <cell r="AH301">
            <v>41061</v>
          </cell>
          <cell r="AK301">
            <v>41091</v>
          </cell>
          <cell r="AN301">
            <v>41122</v>
          </cell>
          <cell r="AQ301">
            <v>41153</v>
          </cell>
          <cell r="AT301">
            <v>41183</v>
          </cell>
          <cell r="AW301">
            <v>41214</v>
          </cell>
        </row>
        <row r="302">
          <cell r="A302" t="str">
            <v>PurchaseSheep10Depreciation,</v>
          </cell>
          <cell r="D302" t="str">
            <v>Depreciation</v>
          </cell>
          <cell r="F302" t="str">
            <v>Purchase</v>
          </cell>
          <cell r="G302">
            <v>130.56404898093177</v>
          </cell>
          <cell r="H302">
            <v>8148.3245336407772</v>
          </cell>
          <cell r="I302">
            <v>127</v>
          </cell>
          <cell r="J302" t="str">
            <v>Sheep10</v>
          </cell>
          <cell r="K302" t="str">
            <v>Depreciation</v>
          </cell>
          <cell r="L302" t="str">
            <v>% lost from leaching</v>
          </cell>
          <cell r="N302" t="str">
            <v>Indirect emissions from leaching (EF5)</v>
          </cell>
          <cell r="O302">
            <v>207</v>
          </cell>
          <cell r="P302" t="str">
            <v>kgN2O</v>
          </cell>
          <cell r="R302" t="str">
            <v>from leaching</v>
          </cell>
          <cell r="T302" t="str">
            <v>Deadweight</v>
          </cell>
          <cell r="U302" t="str">
            <v>liveweight</v>
          </cell>
          <cell r="V302" t="str">
            <v>KO%</v>
          </cell>
          <cell r="AB302">
            <v>127</v>
          </cell>
          <cell r="AE302">
            <v>127</v>
          </cell>
          <cell r="AH302">
            <v>127</v>
          </cell>
          <cell r="AK302">
            <v>127</v>
          </cell>
          <cell r="AN302">
            <v>127</v>
          </cell>
          <cell r="AQ302">
            <v>127</v>
          </cell>
          <cell r="AT302">
            <v>127</v>
          </cell>
          <cell r="AU302" t="str">
            <v>kgDays</v>
          </cell>
        </row>
        <row r="303">
          <cell r="A303" t="str">
            <v>PurchaseSheep10Finance,</v>
          </cell>
          <cell r="D303" t="str">
            <v>Finance</v>
          </cell>
          <cell r="F303" t="str">
            <v>Purchase</v>
          </cell>
          <cell r="G303" t="str">
            <v>tonnes</v>
          </cell>
          <cell r="H303" t="str">
            <v>Dry Matter %</v>
          </cell>
          <cell r="I303">
            <v>26722.478220995847</v>
          </cell>
          <cell r="J303" t="str">
            <v>Sheep10</v>
          </cell>
          <cell r="K303" t="str">
            <v>Finance</v>
          </cell>
          <cell r="L303">
            <v>0.3</v>
          </cell>
          <cell r="N303">
            <v>2.5000000000000001E-2</v>
          </cell>
          <cell r="O303">
            <v>57.064474541479846</v>
          </cell>
          <cell r="P303">
            <v>89.672745708039756</v>
          </cell>
          <cell r="Q303">
            <v>298</v>
          </cell>
          <cell r="R303">
            <v>26722.478220995847</v>
          </cell>
          <cell r="S303" t="str">
            <v>kgCO2/kgDeadwt</v>
          </cell>
          <cell r="T303">
            <v>142.0821589201164</v>
          </cell>
          <cell r="U303">
            <v>263.11510911132666</v>
          </cell>
          <cell r="V303">
            <v>0.54</v>
          </cell>
        </row>
        <row r="304">
          <cell r="A304" t="str">
            <v>PurchaseSheep10EnterpriseLabourUnits,</v>
          </cell>
          <cell r="D304" t="str">
            <v>Unpaid Labour Units</v>
          </cell>
          <cell r="F304" t="str">
            <v>Purchase</v>
          </cell>
          <cell r="G304">
            <v>6.0404371492450504E-3</v>
          </cell>
          <cell r="H304">
            <v>0.3769754584150255</v>
          </cell>
          <cell r="I304">
            <v>109917.21854931107</v>
          </cell>
          <cell r="J304" t="str">
            <v>Sheep10</v>
          </cell>
          <cell r="K304" t="str">
            <v>EnterpriseLabourUnits</v>
          </cell>
          <cell r="AB304">
            <v>42</v>
          </cell>
          <cell r="AE304">
            <v>42</v>
          </cell>
        </row>
        <row r="305">
          <cell r="A305" t="str">
            <v>Sh11Total methane emissions</v>
          </cell>
          <cell r="D305" t="str">
            <v>CARBON CALC</v>
          </cell>
          <cell r="F305" t="str">
            <v>Sale</v>
          </cell>
          <cell r="G305">
            <v>0</v>
          </cell>
          <cell r="H305">
            <v>0.35</v>
          </cell>
          <cell r="I305">
            <v>147706.65</v>
          </cell>
          <cell r="J305" t="str">
            <v>Sheep10</v>
          </cell>
          <cell r="K305" t="str">
            <v>Silage</v>
          </cell>
          <cell r="AH305">
            <v>0</v>
          </cell>
          <cell r="AK305">
            <v>0</v>
          </cell>
          <cell r="AN305">
            <v>0</v>
          </cell>
        </row>
        <row r="306">
          <cell r="A306" t="str">
            <v>Sh11Total energy emissions</v>
          </cell>
          <cell r="D306" t="str">
            <v>Direct CO2</v>
          </cell>
          <cell r="F306" t="str">
            <v>Sale</v>
          </cell>
          <cell r="G306" t="str">
            <v>PER LU</v>
          </cell>
          <cell r="H306">
            <v>0.4</v>
          </cell>
          <cell r="I306" t="str">
            <v>ENTERPRISE</v>
          </cell>
          <cell r="J306" t="str">
            <v>Sheep10</v>
          </cell>
          <cell r="K306" t="str">
            <v>perkgNetLiveweight</v>
          </cell>
          <cell r="M306" t="str">
            <v>Net liveweight</v>
          </cell>
          <cell r="N306" t="str">
            <v>KO%</v>
          </cell>
          <cell r="AN306">
            <v>0</v>
          </cell>
          <cell r="AQ306">
            <v>0</v>
          </cell>
        </row>
        <row r="307">
          <cell r="A307" t="str">
            <v>PurchaseSheep10Fuel(Business),</v>
          </cell>
          <cell r="D307" t="str">
            <v>Fuel(Business)</v>
          </cell>
          <cell r="F307" t="str">
            <v>Purchase</v>
          </cell>
          <cell r="G307">
            <v>282.83967688998933</v>
          </cell>
          <cell r="H307">
            <v>0.3</v>
          </cell>
          <cell r="I307">
            <v>17651.639147820209</v>
          </cell>
          <cell r="J307" t="str">
            <v>Sheep10</v>
          </cell>
          <cell r="K307" t="str">
            <v>Fuel(Business)</v>
          </cell>
          <cell r="M307">
            <v>33179.148936170212</v>
          </cell>
          <cell r="N307">
            <v>0.45</v>
          </cell>
          <cell r="AQ307">
            <v>0</v>
          </cell>
          <cell r="AT307">
            <v>0</v>
          </cell>
        </row>
        <row r="308">
          <cell r="A308" t="str">
            <v>PurchaseSheep10Fuel(Contractor),</v>
          </cell>
          <cell r="D308" t="str">
            <v>Fuel(Contractor)</v>
          </cell>
          <cell r="F308" t="str">
            <v>Purchase</v>
          </cell>
          <cell r="G308">
            <v>0</v>
          </cell>
          <cell r="I308">
            <v>0</v>
          </cell>
          <cell r="J308" t="str">
            <v>Sheep10</v>
          </cell>
          <cell r="K308" t="str">
            <v>Fuel(Contractor)</v>
          </cell>
          <cell r="AB308">
            <v>28</v>
          </cell>
        </row>
        <row r="309">
          <cell r="A309" t="str">
            <v>PurchaseSheep10Electricity(KWh),</v>
          </cell>
          <cell r="D309" t="str">
            <v>Electricity(KWh)</v>
          </cell>
          <cell r="E309">
            <v>40634</v>
          </cell>
          <cell r="F309" t="str">
            <v>Purchase</v>
          </cell>
          <cell r="G309">
            <v>22.665640539611125</v>
          </cell>
          <cell r="H309">
            <v>6568.7499955041421</v>
          </cell>
          <cell r="I309">
            <v>1414.5317667543302</v>
          </cell>
          <cell r="J309" t="str">
            <v>Sheep10</v>
          </cell>
          <cell r="K309" t="str">
            <v>Electricity(KWh)</v>
          </cell>
          <cell r="L309" t="str">
            <v>Rough</v>
          </cell>
          <cell r="M309">
            <v>8.7583333273388568</v>
          </cell>
          <cell r="Y309">
            <v>8073000</v>
          </cell>
          <cell r="AB309">
            <v>40634</v>
          </cell>
          <cell r="AE309">
            <v>40664</v>
          </cell>
          <cell r="AH309">
            <v>40695</v>
          </cell>
          <cell r="AK309">
            <v>40725</v>
          </cell>
          <cell r="AN309">
            <v>40756</v>
          </cell>
          <cell r="AQ309">
            <v>40787</v>
          </cell>
          <cell r="AT309">
            <v>40817</v>
          </cell>
          <cell r="AW309">
            <v>40848</v>
          </cell>
        </row>
        <row r="310">
          <cell r="A310" t="str">
            <v>Grass11Hectares</v>
          </cell>
          <cell r="D310" t="str">
            <v>Indirect CO2</v>
          </cell>
          <cell r="I310">
            <v>127</v>
          </cell>
          <cell r="J310" t="str">
            <v>Sheep10</v>
          </cell>
          <cell r="K310">
            <v>88.4</v>
          </cell>
          <cell r="L310">
            <v>5</v>
          </cell>
          <cell r="O310">
            <v>207</v>
          </cell>
          <cell r="AB310">
            <v>127</v>
          </cell>
          <cell r="AE310">
            <v>127</v>
          </cell>
          <cell r="AH310">
            <v>127</v>
          </cell>
          <cell r="AK310">
            <v>127</v>
          </cell>
          <cell r="AN310">
            <v>127</v>
          </cell>
          <cell r="AQ310">
            <v>127</v>
          </cell>
          <cell r="AT310">
            <v>127</v>
          </cell>
          <cell r="AU310" t="str">
            <v>kgDays</v>
          </cell>
        </row>
        <row r="311">
          <cell r="A311" t="str">
            <v>Sheep10Feed &amp; bedding</v>
          </cell>
          <cell r="D311" t="str">
            <v>Feed &amp; bedding</v>
          </cell>
          <cell r="F311" t="str">
            <v>Sale</v>
          </cell>
          <cell r="G311" t="str">
            <v>tonnes</v>
          </cell>
          <cell r="H311" t="str">
            <v>Dry Matter %</v>
          </cell>
          <cell r="I311">
            <v>5528.4</v>
          </cell>
          <cell r="J311" t="str">
            <v>Sheep10</v>
          </cell>
          <cell r="K311" t="str">
            <v>Class</v>
          </cell>
          <cell r="L311" t="str">
            <v>SubClass</v>
          </cell>
          <cell r="AB311">
            <v>0</v>
          </cell>
          <cell r="AE311">
            <v>0</v>
          </cell>
          <cell r="AH311">
            <v>0</v>
          </cell>
          <cell r="AK311">
            <v>0</v>
          </cell>
        </row>
        <row r="312">
          <cell r="A312" t="str">
            <v>Sheep10Fertilisers</v>
          </cell>
          <cell r="D312" t="str">
            <v>Fertilisers</v>
          </cell>
          <cell r="E312">
            <v>6</v>
          </cell>
          <cell r="F312" t="str">
            <v>Sale</v>
          </cell>
          <cell r="G312">
            <v>553</v>
          </cell>
          <cell r="H312">
            <v>0.3</v>
          </cell>
          <cell r="I312">
            <v>28</v>
          </cell>
          <cell r="J312" t="str">
            <v>Sheep10</v>
          </cell>
          <cell r="K312" t="str">
            <v>Silage</v>
          </cell>
          <cell r="AB312">
            <v>28</v>
          </cell>
          <cell r="AE312">
            <v>28</v>
          </cell>
        </row>
        <row r="313">
          <cell r="A313" t="str">
            <v>Sheep10N</v>
          </cell>
          <cell r="D313" t="str">
            <v>N</v>
          </cell>
          <cell r="E313">
            <v>467.71653543307082</v>
          </cell>
          <cell r="F313" t="str">
            <v>Sale</v>
          </cell>
          <cell r="G313">
            <v>0</v>
          </cell>
          <cell r="H313">
            <v>0</v>
          </cell>
          <cell r="I313">
            <v>0</v>
          </cell>
          <cell r="J313" t="str">
            <v>Grass12</v>
          </cell>
          <cell r="K313" t="str">
            <v>TotalHay</v>
          </cell>
          <cell r="L313">
            <v>0</v>
          </cell>
          <cell r="M313">
            <v>0</v>
          </cell>
          <cell r="Y313">
            <v>0</v>
          </cell>
          <cell r="AH313">
            <v>19</v>
          </cell>
          <cell r="AK313">
            <v>19</v>
          </cell>
          <cell r="AN313">
            <v>19</v>
          </cell>
        </row>
        <row r="314">
          <cell r="A314" t="str">
            <v>Sheep10P</v>
          </cell>
          <cell r="D314" t="str">
            <v>P</v>
          </cell>
          <cell r="E314">
            <v>209.76377952755905</v>
          </cell>
          <cell r="F314" t="str">
            <v>Sale</v>
          </cell>
          <cell r="G314">
            <v>0</v>
          </cell>
          <cell r="H314">
            <v>0.4</v>
          </cell>
          <cell r="I314">
            <v>0</v>
          </cell>
          <cell r="J314" t="str">
            <v>Grass11</v>
          </cell>
          <cell r="K314" t="str">
            <v>Silage</v>
          </cell>
          <cell r="AN314">
            <v>0</v>
          </cell>
          <cell r="AQ314">
            <v>0</v>
          </cell>
        </row>
        <row r="315">
          <cell r="A315" t="str">
            <v>Sheep10K</v>
          </cell>
          <cell r="D315" t="str">
            <v>K</v>
          </cell>
          <cell r="E315">
            <v>110.55118110236219</v>
          </cell>
          <cell r="F315" t="str">
            <v>Sale</v>
          </cell>
          <cell r="G315">
            <v>0</v>
          </cell>
          <cell r="H315">
            <v>0.3</v>
          </cell>
          <cell r="I315">
            <v>21.973189458284853</v>
          </cell>
          <cell r="J315" t="str">
            <v>Grass12</v>
          </cell>
          <cell r="K315" t="str">
            <v>Grazing Ha</v>
          </cell>
          <cell r="Z315" t="str">
            <v>Grazing</v>
          </cell>
          <cell r="AB315">
            <v>85</v>
          </cell>
          <cell r="AE315">
            <v>85</v>
          </cell>
          <cell r="AH315">
            <v>127</v>
          </cell>
          <cell r="AK315">
            <v>127</v>
          </cell>
          <cell r="AN315">
            <v>127</v>
          </cell>
          <cell r="AQ315">
            <v>0</v>
          </cell>
          <cell r="AT315">
            <v>0</v>
          </cell>
        </row>
        <row r="316">
          <cell r="A316" t="str">
            <v>Sheep10Ca</v>
          </cell>
          <cell r="D316" t="str">
            <v>Ca</v>
          </cell>
          <cell r="E316">
            <v>949.6062992125984</v>
          </cell>
          <cell r="F316">
            <v>0.6</v>
          </cell>
          <cell r="G316" t="str">
            <v>Tonnes</v>
          </cell>
          <cell r="H316" t="str">
            <v>Cost</v>
          </cell>
          <cell r="I316" t="str">
            <v>Analysis</v>
          </cell>
          <cell r="J316" t="str">
            <v>Sheep10</v>
          </cell>
          <cell r="L316" t="str">
            <v>allocation</v>
          </cell>
        </row>
        <row r="317">
          <cell r="A317" t="str">
            <v>Sheep10Total CO2 from Fertiliser</v>
          </cell>
          <cell r="D317" t="str">
            <v>Total CO2 from Fertiliser</v>
          </cell>
          <cell r="F317" t="str">
            <v>Purchase</v>
          </cell>
          <cell r="G317">
            <v>833</v>
          </cell>
          <cell r="H317">
            <v>5719.0137937303934</v>
          </cell>
          <cell r="I317">
            <v>2185.4267716535433</v>
          </cell>
          <cell r="J317" t="str">
            <v>Sheep10</v>
          </cell>
          <cell r="K317" t="str">
            <v>TotalSilage</v>
          </cell>
          <cell r="L317">
            <v>26.90577201476674</v>
          </cell>
          <cell r="M317">
            <v>6.865562777587507</v>
          </cell>
          <cell r="Y317">
            <v>10345860</v>
          </cell>
          <cell r="Z317">
            <v>1080</v>
          </cell>
          <cell r="AA317">
            <v>432</v>
          </cell>
          <cell r="AB317">
            <v>648.00000000000011</v>
          </cell>
        </row>
        <row r="318">
          <cell r="A318" t="str">
            <v>Sheep10Ewes</v>
          </cell>
          <cell r="F318" t="str">
            <v>Purchase</v>
          </cell>
          <cell r="G318">
            <v>15</v>
          </cell>
          <cell r="H318">
            <v>4875</v>
          </cell>
          <cell r="I318" t="str">
            <v>20:08:13</v>
          </cell>
          <cell r="J318" t="str">
            <v>Sheep10</v>
          </cell>
          <cell r="K318" t="str">
            <v>Ewes</v>
          </cell>
          <cell r="L318" t="str">
            <v>Grazing</v>
          </cell>
          <cell r="O318" t="str">
            <v>Progeny</v>
          </cell>
          <cell r="Z318">
            <v>3000</v>
          </cell>
          <cell r="AA318">
            <v>1200</v>
          </cell>
          <cell r="AB318">
            <v>1950</v>
          </cell>
        </row>
        <row r="319">
          <cell r="A319" t="str">
            <v>Sheep10Methane</v>
          </cell>
          <cell r="D319" t="str">
            <v>Methane</v>
          </cell>
          <cell r="F319" t="str">
            <v>Sale</v>
          </cell>
          <cell r="G319">
            <v>0</v>
          </cell>
          <cell r="H319">
            <v>0.85</v>
          </cell>
          <cell r="I319">
            <v>146437.20000000001</v>
          </cell>
          <cell r="J319" t="str">
            <v>Sheep10</v>
          </cell>
          <cell r="K319">
            <v>580</v>
          </cell>
          <cell r="L319">
            <v>8.19</v>
          </cell>
          <cell r="M319">
            <v>4750.2</v>
          </cell>
          <cell r="N319">
            <v>118755</v>
          </cell>
          <cell r="O319">
            <v>338</v>
          </cell>
          <cell r="P319">
            <v>3.2760000000000002</v>
          </cell>
          <cell r="Q319">
            <v>1107.288</v>
          </cell>
          <cell r="R319">
            <v>27682.2</v>
          </cell>
          <cell r="Z319">
            <v>0</v>
          </cell>
          <cell r="AA319">
            <v>0</v>
          </cell>
          <cell r="AB319">
            <v>0</v>
          </cell>
          <cell r="AE319">
            <v>0</v>
          </cell>
          <cell r="AH319">
            <v>0</v>
          </cell>
          <cell r="AK319">
            <v>0</v>
          </cell>
        </row>
        <row r="320">
          <cell r="A320" t="str">
            <v>Sheep10Nitrous Oxide</v>
          </cell>
          <cell r="D320" t="str">
            <v>Nitrous Oxide</v>
          </cell>
          <cell r="F320" t="str">
            <v>Purchase</v>
          </cell>
          <cell r="G320">
            <v>0</v>
          </cell>
          <cell r="H320">
            <v>0</v>
          </cell>
          <cell r="I320" t="str">
            <v>15:15:15</v>
          </cell>
          <cell r="J320" t="str">
            <v>Sheep10</v>
          </cell>
          <cell r="K320" t="str">
            <v>Fertiliser</v>
          </cell>
          <cell r="L320" t="str">
            <v>Silage</v>
          </cell>
          <cell r="Z320">
            <v>0</v>
          </cell>
          <cell r="AA320">
            <v>0</v>
          </cell>
          <cell r="AB320">
            <v>0</v>
          </cell>
        </row>
        <row r="321">
          <cell r="A321" t="str">
            <v>Sheep10Direct emissions to soil</v>
          </cell>
          <cell r="D321" t="str">
            <v>Direct emissions to soil</v>
          </cell>
          <cell r="F321" t="str">
            <v>Purchase</v>
          </cell>
          <cell r="G321">
            <v>0</v>
          </cell>
          <cell r="H321">
            <v>0</v>
          </cell>
          <cell r="I321">
            <v>2464.0309336332957</v>
          </cell>
          <cell r="J321" t="str">
            <v>Sheep10</v>
          </cell>
          <cell r="K321">
            <v>6</v>
          </cell>
          <cell r="L321">
            <v>77.952755905511808</v>
          </cell>
          <cell r="M321">
            <v>70.157480314960623</v>
          </cell>
          <cell r="N321">
            <v>1.2500000000000001E-2</v>
          </cell>
          <cell r="O321">
            <v>5.2618110236220472</v>
          </cell>
          <cell r="P321">
            <v>8.2685601799775021</v>
          </cell>
          <cell r="Q321">
            <v>2464.0309336332957</v>
          </cell>
          <cell r="Y321">
            <v>0</v>
          </cell>
          <cell r="AC321">
            <v>67000</v>
          </cell>
        </row>
        <row r="322">
          <cell r="A322" t="str">
            <v>Sheep10</v>
          </cell>
          <cell r="F322" t="str">
            <v>Purchase</v>
          </cell>
          <cell r="H322">
            <v>0</v>
          </cell>
          <cell r="J322" t="str">
            <v>Sheep10</v>
          </cell>
          <cell r="K322" t="str">
            <v>OtherCost</v>
          </cell>
          <cell r="L322" t="str">
            <v>Silage</v>
          </cell>
        </row>
        <row r="323">
          <cell r="A323" t="str">
            <v>Sheep10Distribution of Animal Waste Management Systems used for different animal types</v>
          </cell>
          <cell r="D323" t="str">
            <v>Distribution of Animal Waste Management Systems used for different animal types</v>
          </cell>
          <cell r="F323" t="str">
            <v>Purchase</v>
          </cell>
          <cell r="H323">
            <v>0</v>
          </cell>
          <cell r="I323">
            <v>30.959899591166653</v>
          </cell>
          <cell r="J323" t="str">
            <v>Sheep10</v>
          </cell>
          <cell r="K323" t="str">
            <v>Liquid System</v>
          </cell>
          <cell r="L323" t="str">
            <v>Solid Storage</v>
          </cell>
          <cell r="M323" t="str">
            <v>Grazing</v>
          </cell>
          <cell r="O323" t="str">
            <v>Liquid System</v>
          </cell>
          <cell r="P323" t="str">
            <v>Solid Storage</v>
          </cell>
          <cell r="Q323" t="str">
            <v>Grazing</v>
          </cell>
          <cell r="Z323" t="str">
            <v>Grazing</v>
          </cell>
          <cell r="AB323">
            <v>99</v>
          </cell>
          <cell r="AE323">
            <v>99</v>
          </cell>
          <cell r="AH323">
            <v>108</v>
          </cell>
          <cell r="AK323">
            <v>108</v>
          </cell>
          <cell r="AN323">
            <v>108</v>
          </cell>
          <cell r="AQ323">
            <v>127</v>
          </cell>
          <cell r="AT323">
            <v>127</v>
          </cell>
        </row>
        <row r="324">
          <cell r="A324" t="str">
            <v>Sheep10</v>
          </cell>
          <cell r="D324" t="str">
            <v>Variable Costs</v>
          </cell>
          <cell r="F324" t="str">
            <v>Purchase</v>
          </cell>
          <cell r="G324" t="str">
            <v>Tonnes</v>
          </cell>
          <cell r="H324">
            <v>0</v>
          </cell>
          <cell r="I324" t="str">
            <v>Analysis</v>
          </cell>
          <cell r="J324" t="str">
            <v>Sheep10</v>
          </cell>
          <cell r="K324">
            <v>0</v>
          </cell>
          <cell r="L324">
            <v>0.02</v>
          </cell>
          <cell r="M324">
            <v>0.98</v>
          </cell>
          <cell r="N324">
            <v>0.02</v>
          </cell>
          <cell r="O324">
            <v>0</v>
          </cell>
          <cell r="P324">
            <v>0.02</v>
          </cell>
          <cell r="Q324">
            <v>0.98</v>
          </cell>
          <cell r="R324">
            <v>0.02</v>
          </cell>
        </row>
        <row r="325">
          <cell r="A325" t="str">
            <v>Sheep10Nitrogen excreted (Nex)</v>
          </cell>
          <cell r="D325" t="str">
            <v>Nitrogen excreted (Nex)</v>
          </cell>
          <cell r="F325" t="str">
            <v>Purchase</v>
          </cell>
          <cell r="G325">
            <v>24</v>
          </cell>
          <cell r="H325">
            <v>0</v>
          </cell>
          <cell r="I325">
            <v>55407.565714285716</v>
          </cell>
          <cell r="J325" t="str">
            <v>Sheep10</v>
          </cell>
          <cell r="K325">
            <v>10.199999999999999</v>
          </cell>
          <cell r="L325">
            <v>5916</v>
          </cell>
          <cell r="M325">
            <v>185.93142857142857</v>
          </cell>
          <cell r="N325">
            <v>55407.565714285716</v>
          </cell>
          <cell r="O325">
            <v>0</v>
          </cell>
          <cell r="P325">
            <v>0</v>
          </cell>
          <cell r="Q325">
            <v>0</v>
          </cell>
          <cell r="R325">
            <v>0</v>
          </cell>
          <cell r="Z325">
            <v>6000</v>
          </cell>
          <cell r="AA325">
            <v>2880</v>
          </cell>
          <cell r="AB325">
            <v>0</v>
          </cell>
        </row>
        <row r="326">
          <cell r="A326" t="str">
            <v>Sheep10Indirect N2O emissions</v>
          </cell>
          <cell r="D326" t="str">
            <v>Indirect N2O emissions</v>
          </cell>
          <cell r="F326" t="str">
            <v>Purchase</v>
          </cell>
          <cell r="G326">
            <v>0</v>
          </cell>
          <cell r="H326">
            <v>0</v>
          </cell>
          <cell r="I326" t="str">
            <v>20:10:10</v>
          </cell>
          <cell r="J326" t="str">
            <v>Sheep10</v>
          </cell>
          <cell r="K326" t="str">
            <v>Volatisation % from excreta</v>
          </cell>
          <cell r="L326" t="str">
            <v>From animals</v>
          </cell>
          <cell r="Z326">
            <v>0</v>
          </cell>
          <cell r="AA326">
            <v>0</v>
          </cell>
          <cell r="AB326">
            <v>0</v>
          </cell>
        </row>
        <row r="327">
          <cell r="A327" t="str">
            <v>Sheep10Volatisation % from excreta</v>
          </cell>
          <cell r="D327" t="str">
            <v>Volatisation % from excreta</v>
          </cell>
          <cell r="F327" t="str">
            <v>Purchase</v>
          </cell>
          <cell r="G327">
            <v>19.5</v>
          </cell>
          <cell r="H327">
            <v>2900</v>
          </cell>
          <cell r="I327" t="str">
            <v>20:08:12</v>
          </cell>
          <cell r="J327" t="str">
            <v>Sheep10</v>
          </cell>
          <cell r="K327">
            <v>0.2</v>
          </cell>
          <cell r="L327">
            <v>1479</v>
          </cell>
          <cell r="Z327">
            <v>3900</v>
          </cell>
          <cell r="AA327">
            <v>1560</v>
          </cell>
          <cell r="AB327">
            <v>2340</v>
          </cell>
        </row>
        <row r="328">
          <cell r="A328" t="str">
            <v>Sheep10Indirect emissions: volatisation (EF4)</v>
          </cell>
          <cell r="D328" t="str">
            <v>Indirect emissions: volatisation (EF4)</v>
          </cell>
          <cell r="F328" t="str">
            <v>Purchase</v>
          </cell>
          <cell r="G328">
            <v>0</v>
          </cell>
          <cell r="H328">
            <v>4875</v>
          </cell>
          <cell r="I328" t="str">
            <v>15:15:15</v>
          </cell>
          <cell r="J328" t="str">
            <v>Sheep10</v>
          </cell>
          <cell r="K328" t="str">
            <v>N fertiliser allocated to enterprise</v>
          </cell>
          <cell r="L328" t="str">
            <v>Volatisation % from N fertiliser</v>
          </cell>
          <cell r="M328" t="str">
            <v>From N fertiliser allocated to enterprise</v>
          </cell>
          <cell r="N328" t="str">
            <v>Indirect emissions: volatisation (EF4)</v>
          </cell>
          <cell r="O328" t="str">
            <v>from animals + fertiliser</v>
          </cell>
          <cell r="P328" t="str">
            <v>volatile from animals + fertiliser</v>
          </cell>
          <cell r="Q328" t="str">
            <v>GWP coefficient NO2</v>
          </cell>
          <cell r="R328" t="str">
            <v>volatile from excreta and fertiliser</v>
          </cell>
          <cell r="Z328">
            <v>0</v>
          </cell>
          <cell r="AA328">
            <v>0</v>
          </cell>
          <cell r="AB328">
            <v>0</v>
          </cell>
        </row>
        <row r="329">
          <cell r="A329" t="str">
            <v>Sheep10Volatisation from animals + fertiliser</v>
          </cell>
          <cell r="D329" t="str">
            <v>Volatisation from animals + fertiliser</v>
          </cell>
          <cell r="F329" t="str">
            <v>Purchase</v>
          </cell>
          <cell r="G329">
            <v>20</v>
          </cell>
          <cell r="H329">
            <v>6067</v>
          </cell>
          <cell r="I329">
            <v>7144.9706861642298</v>
          </cell>
          <cell r="J329" t="str">
            <v>Sheep10</v>
          </cell>
          <cell r="K329">
            <v>467.71653543307082</v>
          </cell>
          <cell r="L329">
            <v>0.1</v>
          </cell>
          <cell r="M329">
            <v>46.771653543307082</v>
          </cell>
          <cell r="N329">
            <v>0.01</v>
          </cell>
          <cell r="O329">
            <v>15.257716535433072</v>
          </cell>
          <cell r="P329">
            <v>23.976411698537685</v>
          </cell>
          <cell r="Q329">
            <v>298</v>
          </cell>
          <cell r="R329">
            <v>7144.9706861642298</v>
          </cell>
          <cell r="AC329">
            <v>13400</v>
          </cell>
        </row>
        <row r="330">
          <cell r="A330" t="str">
            <v>Sheep10</v>
          </cell>
          <cell r="F330" t="str">
            <v>Purchase</v>
          </cell>
          <cell r="H330">
            <v>1000</v>
          </cell>
          <cell r="J330" t="str">
            <v>Sheep10</v>
          </cell>
          <cell r="K330" t="str">
            <v>From leaching</v>
          </cell>
          <cell r="L330" t="str">
            <v>% lost from leaching</v>
          </cell>
          <cell r="N330" t="str">
            <v>Indirect emissions from leaching (EF5)</v>
          </cell>
          <cell r="O330" t="str">
            <v>kgN2O-N</v>
          </cell>
          <cell r="P330" t="str">
            <v>kgN2O</v>
          </cell>
          <cell r="R330" t="str">
            <v>from leaching</v>
          </cell>
          <cell r="T330" t="str">
            <v>Deadweight</v>
          </cell>
          <cell r="U330" t="str">
            <v>liveweight</v>
          </cell>
          <cell r="V330" t="str">
            <v>KO%</v>
          </cell>
        </row>
        <row r="331">
          <cell r="A331" t="str">
            <v>Sheep10Leaching</v>
          </cell>
          <cell r="D331" t="str">
            <v>Leaching</v>
          </cell>
          <cell r="F331" t="str">
            <v>Purchase</v>
          </cell>
          <cell r="H331">
            <v>0</v>
          </cell>
          <cell r="I331">
            <v>17061.796417322836</v>
          </cell>
          <cell r="J331" t="str">
            <v>Grass11</v>
          </cell>
          <cell r="K331" t="str">
            <v>OtherCost</v>
          </cell>
          <cell r="L331" t="str">
            <v>All</v>
          </cell>
          <cell r="N331">
            <v>2.5000000000000001E-2</v>
          </cell>
          <cell r="O331">
            <v>36.434586614173227</v>
          </cell>
          <cell r="P331">
            <v>57.25435039370079</v>
          </cell>
          <cell r="Q331">
            <v>298</v>
          </cell>
          <cell r="R331">
            <v>17061.796417322836</v>
          </cell>
          <cell r="S331" t="str">
            <v>kgCO2/kgDeadwt</v>
          </cell>
          <cell r="T331">
            <v>151.58847488295621</v>
          </cell>
          <cell r="U331">
            <v>280.71939793140035</v>
          </cell>
          <cell r="V331">
            <v>0.54</v>
          </cell>
        </row>
        <row r="332">
          <cell r="A332" t="str">
            <v>Sheep10Total N2O emissions</v>
          </cell>
          <cell r="D332" t="str">
            <v>Total N2O emissions</v>
          </cell>
          <cell r="F332" t="str">
            <v>Purchase</v>
          </cell>
          <cell r="G332">
            <v>12.850393700787402</v>
          </cell>
          <cell r="H332">
            <v>0</v>
          </cell>
          <cell r="I332">
            <v>82078.363751406083</v>
          </cell>
          <cell r="J332" t="str">
            <v>Sheep10</v>
          </cell>
          <cell r="K332" t="str">
            <v>Spray</v>
          </cell>
          <cell r="L332" t="str">
            <v>All</v>
          </cell>
          <cell r="Z332" t="str">
            <v>&lt;--monthly numbers--&gt;</v>
          </cell>
          <cell r="AC332" t="str">
            <v>&lt;--monthly numbers--&gt;</v>
          </cell>
          <cell r="AF332" t="str">
            <v>&lt;--monthly numbers--&gt;</v>
          </cell>
          <cell r="AI332" t="str">
            <v>&lt;--monthly numbers--&gt;</v>
          </cell>
          <cell r="AL332" t="str">
            <v>&lt;--monthly numbers--&gt;</v>
          </cell>
          <cell r="AO332" t="str">
            <v>&lt;--monthly numbers--&gt;</v>
          </cell>
          <cell r="AR332" t="str">
            <v>&lt;--monthly numbers--&gt;</v>
          </cell>
        </row>
        <row r="333">
          <cell r="A333" t="str">
            <v>Sheep10Total methane emissions</v>
          </cell>
          <cell r="D333" t="str">
            <v>Total methane emissions</v>
          </cell>
          <cell r="F333" t="str">
            <v>Purchase</v>
          </cell>
          <cell r="H333">
            <v>0</v>
          </cell>
          <cell r="I333">
            <v>146437.20000000001</v>
          </cell>
          <cell r="J333" t="str">
            <v>Grass11</v>
          </cell>
          <cell r="K333" t="str">
            <v>Seed</v>
          </cell>
          <cell r="L333" t="str">
            <v>All</v>
          </cell>
          <cell r="Z333" t="str">
            <v>default</v>
          </cell>
          <cell r="AA333" t="str">
            <v>over-ride</v>
          </cell>
          <cell r="AB333" t="str">
            <v>KgDays</v>
          </cell>
          <cell r="AC333" t="str">
            <v>default</v>
          </cell>
          <cell r="AD333" t="str">
            <v>over-ride</v>
          </cell>
          <cell r="AE333" t="str">
            <v>KgDays</v>
          </cell>
          <cell r="AF333" t="str">
            <v>default</v>
          </cell>
          <cell r="AG333" t="str">
            <v>over-ride</v>
          </cell>
          <cell r="AH333" t="str">
            <v>KgDays</v>
          </cell>
          <cell r="AI333" t="str">
            <v>default</v>
          </cell>
          <cell r="AJ333" t="str">
            <v>over-ride</v>
          </cell>
          <cell r="AK333" t="str">
            <v>KgDays</v>
          </cell>
          <cell r="AL333" t="str">
            <v>default</v>
          </cell>
          <cell r="AM333" t="str">
            <v>over-ride</v>
          </cell>
          <cell r="AN333" t="str">
            <v>KgDays</v>
          </cell>
          <cell r="AO333" t="str">
            <v>default</v>
          </cell>
          <cell r="AP333" t="str">
            <v>over-ride</v>
          </cell>
          <cell r="AQ333" t="str">
            <v>KgDays</v>
          </cell>
          <cell r="AR333" t="str">
            <v>default</v>
          </cell>
          <cell r="AS333" t="str">
            <v>over-ride</v>
          </cell>
          <cell r="AT333" t="str">
            <v>KgDays</v>
          </cell>
        </row>
        <row r="334">
          <cell r="A334" t="str">
            <v>Sheep10Total energy emissions</v>
          </cell>
          <cell r="D334" t="str">
            <v>Total energy emissions</v>
          </cell>
          <cell r="I334">
            <v>26779.997686228086</v>
          </cell>
          <cell r="J334" t="str">
            <v>Sheep10</v>
          </cell>
          <cell r="K334" t="str">
            <v>perkgNetLiveweight</v>
          </cell>
          <cell r="M334" t="str">
            <v>Net liveweight</v>
          </cell>
          <cell r="N334" t="str">
            <v>KO%</v>
          </cell>
        </row>
        <row r="335">
          <cell r="A335" t="str">
            <v>Sheep10Total CO2 emissions</v>
          </cell>
          <cell r="D335" t="str">
            <v>Total CO2 emissions</v>
          </cell>
          <cell r="H335">
            <v>480</v>
          </cell>
          <cell r="I335">
            <v>255295.56143763417</v>
          </cell>
          <cell r="J335" t="str">
            <v>Grass11</v>
          </cell>
          <cell r="K335">
            <v>7.666533376505531</v>
          </cell>
          <cell r="L335" t="str">
            <v>AllCosts</v>
          </cell>
          <cell r="M335">
            <v>33300</v>
          </cell>
          <cell r="N335">
            <v>0.45</v>
          </cell>
          <cell r="Y335" t="str">
            <v>LivestockGrazingKG</v>
          </cell>
          <cell r="Z335">
            <v>41000</v>
          </cell>
          <cell r="AC335">
            <v>41030</v>
          </cell>
          <cell r="AF335">
            <v>41061</v>
          </cell>
          <cell r="AI335">
            <v>41091</v>
          </cell>
          <cell r="AL335">
            <v>41122</v>
          </cell>
          <cell r="AO335">
            <v>41153</v>
          </cell>
          <cell r="AR335">
            <v>41183</v>
          </cell>
          <cell r="AU335">
            <v>41214</v>
          </cell>
          <cell r="AX335" t="str">
            <v>Monthly numbers - lookup table</v>
          </cell>
        </row>
        <row r="336">
          <cell r="A336" t="str">
            <v>BottomEdge</v>
          </cell>
          <cell r="D336" t="str">
            <v>BottomEdge</v>
          </cell>
          <cell r="F336" t="str">
            <v>Sale</v>
          </cell>
          <cell r="G336">
            <v>0</v>
          </cell>
          <cell r="H336">
            <v>5448</v>
          </cell>
          <cell r="I336">
            <v>45.591442177883643</v>
          </cell>
          <cell r="J336" t="str">
            <v>Grass11</v>
          </cell>
          <cell r="K336" t="str">
            <v>Grazing</v>
          </cell>
          <cell r="L336" t="str">
            <v>GrazingCosts</v>
          </cell>
          <cell r="M336">
            <v>0</v>
          </cell>
          <cell r="N336" t="str">
            <v>Recorded</v>
          </cell>
          <cell r="Y336">
            <v>16750400</v>
          </cell>
          <cell r="Z336">
            <v>130</v>
          </cell>
          <cell r="AB336">
            <v>28</v>
          </cell>
          <cell r="AC336">
            <v>130</v>
          </cell>
          <cell r="AE336">
            <v>2405600</v>
          </cell>
          <cell r="AF336">
            <v>122</v>
          </cell>
          <cell r="AH336">
            <v>2328000</v>
          </cell>
          <cell r="AI336">
            <v>122</v>
          </cell>
          <cell r="AK336">
            <v>2405600</v>
          </cell>
          <cell r="AL336">
            <v>122</v>
          </cell>
          <cell r="AN336">
            <v>2405600</v>
          </cell>
          <cell r="AO336">
            <v>122</v>
          </cell>
          <cell r="AQ336">
            <v>2328000</v>
          </cell>
          <cell r="AR336">
            <v>122</v>
          </cell>
          <cell r="AT336">
            <v>2405600</v>
          </cell>
          <cell r="AX336">
            <v>130</v>
          </cell>
          <cell r="AY336">
            <v>130</v>
          </cell>
          <cell r="AZ336">
            <v>122</v>
          </cell>
          <cell r="BA336">
            <v>122</v>
          </cell>
          <cell r="BB336">
            <v>122</v>
          </cell>
          <cell r="BC336">
            <v>122</v>
          </cell>
          <cell r="BD336">
            <v>122</v>
          </cell>
        </row>
        <row r="337">
          <cell r="A337" t="str">
            <v>Grass10Grass</v>
          </cell>
          <cell r="D337" t="str">
            <v>Grass</v>
          </cell>
          <cell r="E337">
            <v>40269</v>
          </cell>
          <cell r="F337" t="str">
            <v>Sale</v>
          </cell>
          <cell r="G337">
            <v>0</v>
          </cell>
          <cell r="H337">
            <v>5602</v>
          </cell>
          <cell r="I337" t="str">
            <v>Total</v>
          </cell>
          <cell r="J337" t="str">
            <v>Leys</v>
          </cell>
          <cell r="K337" t="str">
            <v>Permanent</v>
          </cell>
          <cell r="L337" t="str">
            <v>Rough</v>
          </cell>
          <cell r="M337">
            <v>0</v>
          </cell>
          <cell r="N337" t="str">
            <v>Recorded</v>
          </cell>
          <cell r="Y337">
            <v>1048600</v>
          </cell>
          <cell r="Z337">
            <v>6</v>
          </cell>
          <cell r="AB337">
            <v>40269</v>
          </cell>
          <cell r="AC337">
            <v>6</v>
          </cell>
          <cell r="AE337">
            <v>40299</v>
          </cell>
          <cell r="AF337">
            <v>6</v>
          </cell>
          <cell r="AH337">
            <v>40330</v>
          </cell>
          <cell r="AI337">
            <v>6</v>
          </cell>
          <cell r="AK337">
            <v>40360</v>
          </cell>
          <cell r="AL337">
            <v>6</v>
          </cell>
          <cell r="AN337">
            <v>40391</v>
          </cell>
          <cell r="AO337">
            <v>6</v>
          </cell>
          <cell r="AQ337">
            <v>40422</v>
          </cell>
          <cell r="AR337">
            <v>6</v>
          </cell>
          <cell r="AT337">
            <v>40452</v>
          </cell>
          <cell r="AW337">
            <v>40483</v>
          </cell>
          <cell r="AX337">
            <v>6</v>
          </cell>
          <cell r="AY337">
            <v>6</v>
          </cell>
          <cell r="AZ337">
            <v>6</v>
          </cell>
          <cell r="BA337">
            <v>6</v>
          </cell>
          <cell r="BB337">
            <v>6</v>
          </cell>
          <cell r="BC337">
            <v>6</v>
          </cell>
          <cell r="BD337">
            <v>6</v>
          </cell>
        </row>
        <row r="338">
          <cell r="A338" t="str">
            <v>Grass10Hectares</v>
          </cell>
          <cell r="D338" t="str">
            <v>Hectares</v>
          </cell>
          <cell r="F338" t="str">
            <v>Sale</v>
          </cell>
          <cell r="G338">
            <v>0</v>
          </cell>
          <cell r="H338">
            <v>0</v>
          </cell>
          <cell r="I338">
            <v>127</v>
          </cell>
          <cell r="J338">
            <v>33.6</v>
          </cell>
          <cell r="K338">
            <v>88.4</v>
          </cell>
          <cell r="L338">
            <v>5</v>
          </cell>
          <cell r="M338">
            <v>0.95079161317928973</v>
          </cell>
          <cell r="N338" t="str">
            <v>Recorded</v>
          </cell>
          <cell r="O338">
            <v>207</v>
          </cell>
          <cell r="Y338">
            <v>2777410.1463920902</v>
          </cell>
          <cell r="Z338">
            <v>105</v>
          </cell>
          <cell r="AB338">
            <v>127</v>
          </cell>
          <cell r="AC338">
            <v>101</v>
          </cell>
          <cell r="AE338">
            <v>127</v>
          </cell>
          <cell r="AF338">
            <v>101</v>
          </cell>
          <cell r="AH338">
            <v>127</v>
          </cell>
          <cell r="AI338">
            <v>101</v>
          </cell>
          <cell r="AK338">
            <v>127</v>
          </cell>
          <cell r="AL338">
            <v>101</v>
          </cell>
          <cell r="AN338">
            <v>127</v>
          </cell>
          <cell r="AO338">
            <v>101</v>
          </cell>
          <cell r="AQ338">
            <v>127</v>
          </cell>
          <cell r="AR338">
            <v>99</v>
          </cell>
          <cell r="AT338">
            <v>127</v>
          </cell>
          <cell r="AU338" t="str">
            <v>kgDays</v>
          </cell>
          <cell r="AX338">
            <v>105</v>
          </cell>
          <cell r="AY338">
            <v>101</v>
          </cell>
          <cell r="AZ338">
            <v>101</v>
          </cell>
          <cell r="BA338">
            <v>101</v>
          </cell>
          <cell r="BB338">
            <v>101</v>
          </cell>
          <cell r="BC338">
            <v>101</v>
          </cell>
          <cell r="BD338">
            <v>99</v>
          </cell>
        </row>
        <row r="339">
          <cell r="A339" t="str">
            <v>SalesH12Grazing7884870,</v>
          </cell>
          <cell r="D339" t="str">
            <v>sH12Female</v>
          </cell>
          <cell r="F339" t="str">
            <v>Sale</v>
          </cell>
          <cell r="G339" t="str">
            <v>tonnes</v>
          </cell>
          <cell r="H339" t="str">
            <v>Dry Matter %</v>
          </cell>
          <cell r="I339" t="str">
            <v>ha cut</v>
          </cell>
          <cell r="J339" t="str">
            <v>Enterprise</v>
          </cell>
          <cell r="K339" t="str">
            <v>Class</v>
          </cell>
          <cell r="L339" t="str">
            <v>SubClass</v>
          </cell>
          <cell r="M339">
            <v>0</v>
          </cell>
          <cell r="N339" t="str">
            <v>Recorded</v>
          </cell>
          <cell r="Y339">
            <v>7884870</v>
          </cell>
          <cell r="Z339">
            <v>545</v>
          </cell>
          <cell r="AB339">
            <v>1144500</v>
          </cell>
          <cell r="AC339">
            <v>545</v>
          </cell>
          <cell r="AE339">
            <v>898380</v>
          </cell>
          <cell r="AF339">
            <v>414</v>
          </cell>
          <cell r="AH339">
            <v>869400</v>
          </cell>
          <cell r="AI339">
            <v>582</v>
          </cell>
          <cell r="AK339">
            <v>1262940</v>
          </cell>
          <cell r="AL339">
            <v>582</v>
          </cell>
          <cell r="AN339">
            <v>1262940</v>
          </cell>
          <cell r="AO339">
            <v>582</v>
          </cell>
          <cell r="AQ339">
            <v>1203300</v>
          </cell>
          <cell r="AR339">
            <v>573</v>
          </cell>
          <cell r="AT339">
            <v>1243410</v>
          </cell>
          <cell r="AX339">
            <v>545</v>
          </cell>
          <cell r="AY339">
            <v>545</v>
          </cell>
          <cell r="AZ339">
            <v>414</v>
          </cell>
          <cell r="BA339">
            <v>582</v>
          </cell>
          <cell r="BB339">
            <v>582</v>
          </cell>
          <cell r="BC339">
            <v>582</v>
          </cell>
          <cell r="BD339">
            <v>573</v>
          </cell>
        </row>
        <row r="340">
          <cell r="A340" t="str">
            <v>Grass11Analysis,</v>
          </cell>
          <cell r="D340" t="str">
            <v>1st cut</v>
          </cell>
          <cell r="F340" t="str">
            <v>Sale</v>
          </cell>
          <cell r="G340">
            <v>900</v>
          </cell>
          <cell r="H340">
            <v>0.3</v>
          </cell>
          <cell r="I340">
            <v>34</v>
          </cell>
          <cell r="J340" t="str">
            <v>Grass10</v>
          </cell>
          <cell r="K340" t="str">
            <v>Silage</v>
          </cell>
          <cell r="L340" t="str">
            <v>Male</v>
          </cell>
          <cell r="M340">
            <v>0</v>
          </cell>
          <cell r="N340" t="str">
            <v>Recorded</v>
          </cell>
          <cell r="Y340">
            <v>461600</v>
          </cell>
          <cell r="Z340" t="str">
            <v>&lt;--monthly numbers--&gt;</v>
          </cell>
          <cell r="AB340">
            <v>34</v>
          </cell>
          <cell r="AC340" t="str">
            <v>&lt;--monthly numbers--&gt;</v>
          </cell>
          <cell r="AE340">
            <v>34</v>
          </cell>
          <cell r="AF340" t="str">
            <v>&lt;--monthly numbers--&gt;</v>
          </cell>
          <cell r="AH340">
            <v>63000</v>
          </cell>
          <cell r="AI340" t="str">
            <v>&lt;--monthly numbers--&gt;</v>
          </cell>
          <cell r="AK340">
            <v>65100</v>
          </cell>
          <cell r="AL340" t="str">
            <v>&lt;--monthly numbers--&gt;</v>
          </cell>
          <cell r="AN340">
            <v>65100</v>
          </cell>
          <cell r="AO340" t="str">
            <v>&lt;--monthly numbers--&gt;</v>
          </cell>
          <cell r="AQ340">
            <v>69000</v>
          </cell>
          <cell r="AR340" t="str">
            <v>&lt;--monthly numbers--&gt;</v>
          </cell>
          <cell r="AT340">
            <v>71300</v>
          </cell>
          <cell r="AX340">
            <v>21</v>
          </cell>
          <cell r="AY340">
            <v>21</v>
          </cell>
          <cell r="AZ340">
            <v>21</v>
          </cell>
          <cell r="BA340">
            <v>21</v>
          </cell>
          <cell r="BB340">
            <v>21</v>
          </cell>
          <cell r="BC340">
            <v>23</v>
          </cell>
          <cell r="BD340">
            <v>23</v>
          </cell>
        </row>
        <row r="341">
          <cell r="A341" t="str">
            <v>SalesH12Grazing2573069.95779749,</v>
          </cell>
          <cell r="D341" t="str">
            <v>2nd cut</v>
          </cell>
          <cell r="F341" t="str">
            <v>Sale</v>
          </cell>
          <cell r="G341">
            <v>0</v>
          </cell>
          <cell r="H341">
            <v>0.35</v>
          </cell>
          <cell r="I341">
            <v>0</v>
          </cell>
          <cell r="J341" t="str">
            <v>Grass10</v>
          </cell>
          <cell r="K341" t="str">
            <v>Silage</v>
          </cell>
          <cell r="L341" t="str">
            <v>Progeny</v>
          </cell>
          <cell r="M341">
            <v>0.19497724943386846</v>
          </cell>
          <cell r="N341" t="str">
            <v>Recorded</v>
          </cell>
          <cell r="Y341">
            <v>2573069.9577974915</v>
          </cell>
          <cell r="Z341" t="str">
            <v>default</v>
          </cell>
          <cell r="AA341" t="str">
            <v>over-ride</v>
          </cell>
          <cell r="AB341">
            <v>119125</v>
          </cell>
          <cell r="AC341">
            <v>928</v>
          </cell>
          <cell r="AD341" t="str">
            <v>over-ride</v>
          </cell>
          <cell r="AE341">
            <v>287187.10095128196</v>
          </cell>
          <cell r="AF341">
            <v>928</v>
          </cell>
          <cell r="AG341" t="str">
            <v>over-ride</v>
          </cell>
          <cell r="AH341">
            <v>0</v>
          </cell>
          <cell r="AI341">
            <v>861</v>
          </cell>
          <cell r="AJ341" t="str">
            <v>over-ride</v>
          </cell>
          <cell r="AK341">
            <v>0</v>
          </cell>
          <cell r="AL341">
            <v>832</v>
          </cell>
          <cell r="AM341" t="str">
            <v>over-ride</v>
          </cell>
          <cell r="AN341">
            <v>0</v>
          </cell>
          <cell r="AO341">
            <v>537</v>
          </cell>
          <cell r="AP341" t="str">
            <v>over-ride</v>
          </cell>
          <cell r="AQ341">
            <v>371556.88558311941</v>
          </cell>
          <cell r="AR341">
            <v>314</v>
          </cell>
          <cell r="AS341" t="str">
            <v>over-ride</v>
          </cell>
          <cell r="AT341">
            <v>266876.45955394441</v>
          </cell>
          <cell r="AX341">
            <v>953</v>
          </cell>
          <cell r="AY341">
            <v>928</v>
          </cell>
          <cell r="AZ341">
            <v>928</v>
          </cell>
          <cell r="BA341">
            <v>861</v>
          </cell>
          <cell r="BB341">
            <v>832</v>
          </cell>
          <cell r="BC341">
            <v>537</v>
          </cell>
          <cell r="BD341">
            <v>314</v>
          </cell>
        </row>
        <row r="342">
          <cell r="D342" t="str">
            <v>3rd cut</v>
          </cell>
          <cell r="F342" t="str">
            <v>Sale</v>
          </cell>
          <cell r="G342">
            <v>0</v>
          </cell>
          <cell r="H342">
            <v>0.4</v>
          </cell>
          <cell r="I342">
            <v>0</v>
          </cell>
          <cell r="J342" t="str">
            <v>Grass10</v>
          </cell>
          <cell r="K342" t="str">
            <v>Silage</v>
          </cell>
          <cell r="M342" t="str">
            <v>Gain</v>
          </cell>
          <cell r="AN342">
            <v>0</v>
          </cell>
          <cell r="AQ342">
            <v>0</v>
          </cell>
        </row>
        <row r="343">
          <cell r="A343" t="str">
            <v>Recorded grazing group</v>
          </cell>
          <cell r="D343" t="str">
            <v>Baylage</v>
          </cell>
          <cell r="F343" t="str">
            <v>Sale</v>
          </cell>
          <cell r="G343">
            <v>0</v>
          </cell>
          <cell r="H343">
            <v>0.3</v>
          </cell>
          <cell r="I343">
            <v>0</v>
          </cell>
          <cell r="J343" t="str">
            <v>Grass10</v>
          </cell>
          <cell r="K343" t="str">
            <v>Grazing</v>
          </cell>
          <cell r="M343" t="str">
            <v>Gain</v>
          </cell>
          <cell r="N343">
            <v>400</v>
          </cell>
          <cell r="Y343" t="str">
            <v>LivestockGrazingKG</v>
          </cell>
          <cell r="Z343">
            <v>40634</v>
          </cell>
          <cell r="AB343">
            <v>877800</v>
          </cell>
          <cell r="AC343">
            <v>40664</v>
          </cell>
          <cell r="AE343">
            <v>947422</v>
          </cell>
          <cell r="AF343">
            <v>40695</v>
          </cell>
          <cell r="AH343">
            <v>954660</v>
          </cell>
          <cell r="AI343">
            <v>40725</v>
          </cell>
          <cell r="AK343">
            <v>1026844</v>
          </cell>
          <cell r="AL343">
            <v>40756</v>
          </cell>
          <cell r="AN343">
            <v>1067206</v>
          </cell>
          <cell r="AO343">
            <v>40787</v>
          </cell>
          <cell r="AQ343">
            <v>0</v>
          </cell>
          <cell r="AR343">
            <v>40817</v>
          </cell>
          <cell r="AT343">
            <v>0</v>
          </cell>
          <cell r="AU343">
            <v>40848</v>
          </cell>
          <cell r="AX343" t="str">
            <v>Monthly numbers - lookup table</v>
          </cell>
        </row>
        <row r="344">
          <cell r="A344" t="str">
            <v>SaleSpCowGrazing17369300,</v>
          </cell>
          <cell r="D344" t="str">
            <v>SpCowFemale</v>
          </cell>
          <cell r="F344" t="str">
            <v>Sale</v>
          </cell>
          <cell r="G344">
            <v>133</v>
          </cell>
          <cell r="H344">
            <v>3144.9409949728615</v>
          </cell>
          <cell r="I344">
            <v>51.977485097309554</v>
          </cell>
          <cell r="J344" t="str">
            <v>SpCow</v>
          </cell>
          <cell r="K344" t="str">
            <v>Grazing</v>
          </cell>
          <cell r="L344" t="str">
            <v>Female</v>
          </cell>
          <cell r="M344">
            <v>0</v>
          </cell>
          <cell r="N344">
            <v>0</v>
          </cell>
          <cell r="Y344">
            <v>17369300</v>
          </cell>
          <cell r="Z344">
            <v>121</v>
          </cell>
          <cell r="AB344">
            <v>2359500</v>
          </cell>
          <cell r="AC344">
            <v>133</v>
          </cell>
          <cell r="AE344">
            <v>2624150</v>
          </cell>
          <cell r="AF344">
            <v>133</v>
          </cell>
          <cell r="AH344">
            <v>2539500</v>
          </cell>
          <cell r="AI344">
            <v>133</v>
          </cell>
          <cell r="AK344">
            <v>2481550</v>
          </cell>
          <cell r="AL344">
            <v>125</v>
          </cell>
          <cell r="AN344">
            <v>2481550</v>
          </cell>
          <cell r="AO344">
            <v>125</v>
          </cell>
          <cell r="AQ344">
            <v>2401500</v>
          </cell>
          <cell r="AR344">
            <v>125</v>
          </cell>
          <cell r="AT344">
            <v>2481550</v>
          </cell>
          <cell r="AX344">
            <v>121</v>
          </cell>
          <cell r="AY344">
            <v>133</v>
          </cell>
          <cell r="AZ344">
            <v>133</v>
          </cell>
          <cell r="BA344">
            <v>133</v>
          </cell>
          <cell r="BB344">
            <v>125</v>
          </cell>
          <cell r="BC344">
            <v>125</v>
          </cell>
          <cell r="BD344">
            <v>125</v>
          </cell>
        </row>
        <row r="345">
          <cell r="A345" t="str">
            <v>Grass10TotalSilage25.786065471885134.902571739038,</v>
          </cell>
          <cell r="D345" t="str">
            <v>TotalSilage</v>
          </cell>
          <cell r="F345" t="str">
            <v>Sale</v>
          </cell>
          <cell r="G345">
            <v>900</v>
          </cell>
          <cell r="H345">
            <v>4626.6962471743727</v>
          </cell>
          <cell r="I345">
            <v>34.902571739037967</v>
          </cell>
          <cell r="J345" t="str">
            <v>Grass10</v>
          </cell>
          <cell r="K345" t="str">
            <v>TotalSilage</v>
          </cell>
          <cell r="L345">
            <v>25.786065471885113</v>
          </cell>
          <cell r="M345">
            <v>5.1407736079715249</v>
          </cell>
          <cell r="N345">
            <v>0</v>
          </cell>
          <cell r="Y345">
            <v>11178000</v>
          </cell>
          <cell r="Z345">
            <v>7</v>
          </cell>
          <cell r="AB345">
            <v>147000</v>
          </cell>
          <cell r="AC345">
            <v>7</v>
          </cell>
          <cell r="AE345">
            <v>151900</v>
          </cell>
          <cell r="AF345">
            <v>7</v>
          </cell>
          <cell r="AH345">
            <v>147000</v>
          </cell>
          <cell r="AI345">
            <v>7</v>
          </cell>
          <cell r="AK345">
            <v>151900</v>
          </cell>
          <cell r="AL345">
            <v>7</v>
          </cell>
          <cell r="AN345">
            <v>151900</v>
          </cell>
          <cell r="AO345">
            <v>7</v>
          </cell>
          <cell r="AQ345">
            <v>147000</v>
          </cell>
          <cell r="AR345">
            <v>7</v>
          </cell>
          <cell r="AT345">
            <v>151900</v>
          </cell>
          <cell r="AX345">
            <v>7</v>
          </cell>
          <cell r="AY345">
            <v>7</v>
          </cell>
          <cell r="AZ345">
            <v>7</v>
          </cell>
          <cell r="BA345">
            <v>7</v>
          </cell>
          <cell r="BB345">
            <v>7</v>
          </cell>
          <cell r="BC345">
            <v>7</v>
          </cell>
          <cell r="BD345">
            <v>7</v>
          </cell>
        </row>
        <row r="346">
          <cell r="A346" t="str">
            <v>SaleSpCowGrazing2700087.16965105,</v>
          </cell>
          <cell r="D346" t="str">
            <v>SpCowProgeny</v>
          </cell>
          <cell r="F346" t="str">
            <v>Sale</v>
          </cell>
          <cell r="G346">
            <v>121</v>
          </cell>
          <cell r="H346">
            <v>488.88641625372497</v>
          </cell>
          <cell r="I346">
            <v>8.0799882909486325</v>
          </cell>
          <cell r="J346" t="str">
            <v>SpCow</v>
          </cell>
          <cell r="K346" t="str">
            <v>Grazing</v>
          </cell>
          <cell r="L346" t="str">
            <v>Progeny</v>
          </cell>
          <cell r="M346">
            <v>1.0446468009921512</v>
          </cell>
          <cell r="N346" t="str">
            <v>Recorded</v>
          </cell>
          <cell r="Y346">
            <v>2700087.1696510483</v>
          </cell>
          <cell r="Z346">
            <v>0</v>
          </cell>
          <cell r="AB346">
            <v>0</v>
          </cell>
          <cell r="AC346">
            <v>121</v>
          </cell>
          <cell r="AE346">
            <v>187550</v>
          </cell>
          <cell r="AF346">
            <v>117</v>
          </cell>
          <cell r="AH346">
            <v>295168.018415956</v>
          </cell>
          <cell r="AI346">
            <v>117</v>
          </cell>
          <cell r="AK346">
            <v>418674.9707791105</v>
          </cell>
          <cell r="AL346">
            <v>117</v>
          </cell>
          <cell r="AN346">
            <v>536131.92314226495</v>
          </cell>
          <cell r="AO346">
            <v>117</v>
          </cell>
          <cell r="AQ346">
            <v>632505.36339234142</v>
          </cell>
          <cell r="AR346">
            <v>117</v>
          </cell>
          <cell r="AT346">
            <v>630056.89392137551</v>
          </cell>
          <cell r="AX346">
            <v>0</v>
          </cell>
          <cell r="AY346">
            <v>121</v>
          </cell>
          <cell r="AZ346">
            <v>117</v>
          </cell>
          <cell r="BA346">
            <v>117</v>
          </cell>
          <cell r="BB346">
            <v>117</v>
          </cell>
          <cell r="BC346">
            <v>117</v>
          </cell>
          <cell r="BD346">
            <v>117</v>
          </cell>
        </row>
        <row r="347">
          <cell r="A347" t="str">
            <v>SaleSh11Grazing7847070,</v>
          </cell>
          <cell r="D347" t="str">
            <v>main crop hay</v>
          </cell>
          <cell r="F347" t="str">
            <v>Sale</v>
          </cell>
          <cell r="G347">
            <v>0</v>
          </cell>
          <cell r="H347">
            <v>0.85</v>
          </cell>
          <cell r="I347">
            <v>0</v>
          </cell>
          <cell r="J347" t="str">
            <v>Grass10</v>
          </cell>
          <cell r="K347" t="str">
            <v>Hay</v>
          </cell>
          <cell r="L347" t="str">
            <v>Female</v>
          </cell>
          <cell r="M347">
            <v>0</v>
          </cell>
          <cell r="N347" t="str">
            <v>Recorded</v>
          </cell>
          <cell r="Y347">
            <v>7847070</v>
          </cell>
          <cell r="Z347">
            <v>584</v>
          </cell>
          <cell r="AB347">
            <v>0</v>
          </cell>
          <cell r="AC347">
            <v>458</v>
          </cell>
          <cell r="AE347">
            <v>0</v>
          </cell>
          <cell r="AF347">
            <v>458</v>
          </cell>
          <cell r="AH347">
            <v>0</v>
          </cell>
          <cell r="AI347">
            <v>578</v>
          </cell>
          <cell r="AK347">
            <v>0</v>
          </cell>
          <cell r="AL347">
            <v>578</v>
          </cell>
          <cell r="AN347">
            <v>1254260</v>
          </cell>
          <cell r="AO347">
            <v>578</v>
          </cell>
          <cell r="AQ347">
            <v>1190700</v>
          </cell>
          <cell r="AR347">
            <v>567</v>
          </cell>
          <cell r="AT347">
            <v>1230390</v>
          </cell>
          <cell r="AX347">
            <v>584</v>
          </cell>
          <cell r="AY347">
            <v>458</v>
          </cell>
          <cell r="AZ347">
            <v>458</v>
          </cell>
          <cell r="BA347">
            <v>578</v>
          </cell>
          <cell r="BB347">
            <v>578</v>
          </cell>
          <cell r="BC347">
            <v>578</v>
          </cell>
          <cell r="BD347">
            <v>567</v>
          </cell>
        </row>
        <row r="348">
          <cell r="A348" t="str">
            <v>SaleSh11Grazing593000,</v>
          </cell>
          <cell r="D348" t="str">
            <v>Sh11Male</v>
          </cell>
          <cell r="F348" t="str">
            <v>Sale</v>
          </cell>
          <cell r="G348">
            <v>30</v>
          </cell>
          <cell r="H348" t="str">
            <v>Reconcilliation</v>
          </cell>
          <cell r="I348">
            <v>0</v>
          </cell>
          <cell r="J348" t="str">
            <v>Grass12</v>
          </cell>
          <cell r="K348" t="str">
            <v>Grazing</v>
          </cell>
          <cell r="L348" t="str">
            <v>Male</v>
          </cell>
          <cell r="M348">
            <v>0</v>
          </cell>
          <cell r="N348" t="str">
            <v>Recorded</v>
          </cell>
          <cell r="Y348">
            <v>593000</v>
          </cell>
          <cell r="Z348">
            <v>28</v>
          </cell>
          <cell r="AB348">
            <v>84000</v>
          </cell>
          <cell r="AC348">
            <v>28</v>
          </cell>
          <cell r="AE348">
            <v>86800</v>
          </cell>
          <cell r="AF348">
            <v>28</v>
          </cell>
          <cell r="AH348">
            <v>78000</v>
          </cell>
          <cell r="AI348">
            <v>26</v>
          </cell>
          <cell r="AK348">
            <v>80600</v>
          </cell>
          <cell r="AL348">
            <v>26</v>
          </cell>
          <cell r="AN348">
            <v>80600</v>
          </cell>
          <cell r="AO348">
            <v>30</v>
          </cell>
          <cell r="AQ348">
            <v>90000</v>
          </cell>
          <cell r="AR348">
            <v>30</v>
          </cell>
          <cell r="AT348">
            <v>93000</v>
          </cell>
          <cell r="AX348">
            <v>28</v>
          </cell>
          <cell r="AY348">
            <v>28</v>
          </cell>
          <cell r="AZ348">
            <v>28</v>
          </cell>
          <cell r="BA348">
            <v>26</v>
          </cell>
          <cell r="BB348">
            <v>26</v>
          </cell>
          <cell r="BC348">
            <v>30</v>
          </cell>
          <cell r="BD348">
            <v>30</v>
          </cell>
        </row>
        <row r="349">
          <cell r="A349" t="str">
            <v>Grass10TotalHay00,</v>
          </cell>
          <cell r="D349" t="str">
            <v>Total Hay</v>
          </cell>
          <cell r="F349" t="str">
            <v>Sale</v>
          </cell>
          <cell r="G349">
            <v>0</v>
          </cell>
          <cell r="H349">
            <v>0</v>
          </cell>
          <cell r="I349">
            <v>0</v>
          </cell>
          <cell r="J349" t="str">
            <v>Grass10</v>
          </cell>
          <cell r="K349" t="str">
            <v>TotalHay</v>
          </cell>
          <cell r="L349">
            <v>0</v>
          </cell>
          <cell r="M349">
            <v>0</v>
          </cell>
          <cell r="N349" t="str">
            <v>Recorded</v>
          </cell>
          <cell r="Y349">
            <v>0</v>
          </cell>
          <cell r="Z349">
            <v>993</v>
          </cell>
          <cell r="AB349">
            <v>148950</v>
          </cell>
          <cell r="AC349">
            <v>943</v>
          </cell>
          <cell r="AE349">
            <v>322786.27056765935</v>
          </cell>
          <cell r="AF349">
            <v>943</v>
          </cell>
          <cell r="AH349">
            <v>476151.46377314994</v>
          </cell>
          <cell r="AI349">
            <v>929</v>
          </cell>
          <cell r="AK349">
            <v>564634.87219990406</v>
          </cell>
          <cell r="AL349">
            <v>775</v>
          </cell>
          <cell r="AN349">
            <v>519650.3557943363</v>
          </cell>
          <cell r="AO349">
            <v>480</v>
          </cell>
          <cell r="AQ349">
            <v>311999.2575408332</v>
          </cell>
          <cell r="AR349">
            <v>257</v>
          </cell>
          <cell r="AT349">
            <v>191461.04024523834</v>
          </cell>
          <cell r="AX349">
            <v>993</v>
          </cell>
          <cell r="AY349">
            <v>943</v>
          </cell>
          <cell r="AZ349">
            <v>943</v>
          </cell>
          <cell r="BA349">
            <v>929</v>
          </cell>
          <cell r="BB349">
            <v>775</v>
          </cell>
          <cell r="BC349">
            <v>480</v>
          </cell>
          <cell r="BD349">
            <v>257</v>
          </cell>
        </row>
        <row r="350">
          <cell r="D350" t="str">
            <v>Unrecorded grazing groups :-</v>
          </cell>
          <cell r="M350" t="str">
            <v>Gain</v>
          </cell>
        </row>
        <row r="351">
          <cell r="A351" t="str">
            <v>Grass10Grazing Ha34.902571739038,</v>
          </cell>
          <cell r="F351" t="str">
            <v>Sale</v>
          </cell>
          <cell r="G351">
            <v>0</v>
          </cell>
          <cell r="H351">
            <v>0</v>
          </cell>
          <cell r="I351">
            <v>34.902571739037967</v>
          </cell>
          <cell r="J351" t="str">
            <v>Grass10</v>
          </cell>
          <cell r="K351" t="str">
            <v>Grazing</v>
          </cell>
          <cell r="M351">
            <v>0</v>
          </cell>
          <cell r="N351">
            <v>0</v>
          </cell>
          <cell r="Y351">
            <v>0</v>
          </cell>
          <cell r="Z351" t="str">
            <v>Grazing</v>
          </cell>
          <cell r="AB351">
            <v>93</v>
          </cell>
          <cell r="AC351">
            <v>0</v>
          </cell>
          <cell r="AE351">
            <v>93</v>
          </cell>
          <cell r="AF351">
            <v>0</v>
          </cell>
          <cell r="AH351">
            <v>127</v>
          </cell>
          <cell r="AI351">
            <v>0</v>
          </cell>
          <cell r="AK351">
            <v>127</v>
          </cell>
          <cell r="AL351">
            <v>0</v>
          </cell>
          <cell r="AN351">
            <v>127</v>
          </cell>
          <cell r="AO351">
            <v>0</v>
          </cell>
          <cell r="AQ351">
            <v>127</v>
          </cell>
          <cell r="AR351">
            <v>0</v>
          </cell>
          <cell r="AT351">
            <v>127</v>
          </cell>
        </row>
        <row r="352">
          <cell r="A352" t="str">
            <v>0Grazing,</v>
          </cell>
          <cell r="D352" t="str">
            <v>Variable Costs</v>
          </cell>
          <cell r="F352" t="str">
            <v>Sale</v>
          </cell>
          <cell r="G352" t="str">
            <v>Tonnes</v>
          </cell>
          <cell r="H352" t="str">
            <v>Cost</v>
          </cell>
          <cell r="I352" t="str">
            <v>Analysis</v>
          </cell>
          <cell r="K352" t="str">
            <v>Grazing</v>
          </cell>
          <cell r="L352" t="str">
            <v>allocation</v>
          </cell>
          <cell r="M352">
            <v>0</v>
          </cell>
          <cell r="N352">
            <v>0</v>
          </cell>
          <cell r="Y352">
            <v>0</v>
          </cell>
          <cell r="Z352">
            <v>0</v>
          </cell>
          <cell r="AB352">
            <v>0</v>
          </cell>
          <cell r="AC352">
            <v>0</v>
          </cell>
          <cell r="AE352">
            <v>0</v>
          </cell>
          <cell r="AF352">
            <v>0</v>
          </cell>
          <cell r="AH352">
            <v>0</v>
          </cell>
          <cell r="AI352">
            <v>0</v>
          </cell>
          <cell r="AK352">
            <v>0</v>
          </cell>
          <cell r="AL352">
            <v>0</v>
          </cell>
          <cell r="AN352">
            <v>0</v>
          </cell>
          <cell r="AO352">
            <v>0</v>
          </cell>
          <cell r="AQ352">
            <v>0</v>
          </cell>
          <cell r="AR352">
            <v>0</v>
          </cell>
          <cell r="AT352">
            <v>0</v>
          </cell>
        </row>
        <row r="353">
          <cell r="A353" t="str">
            <v>PurchaseGrass10FertiliserGrazing25:12:00,</v>
          </cell>
          <cell r="F353" t="str">
            <v>Purchase</v>
          </cell>
          <cell r="G353">
            <v>24</v>
          </cell>
          <cell r="H353">
            <v>4440</v>
          </cell>
          <cell r="I353" t="str">
            <v>25:12:00</v>
          </cell>
          <cell r="J353" t="str">
            <v>Grass10</v>
          </cell>
          <cell r="K353" t="str">
            <v>Grazing</v>
          </cell>
          <cell r="L353" t="str">
            <v>Grazing</v>
          </cell>
          <cell r="M353">
            <v>0</v>
          </cell>
          <cell r="N353">
            <v>0</v>
          </cell>
          <cell r="Y353">
            <v>0</v>
          </cell>
          <cell r="Z353">
            <v>6000</v>
          </cell>
          <cell r="AA353">
            <v>2880</v>
          </cell>
          <cell r="AB353">
            <v>0</v>
          </cell>
          <cell r="AC353">
            <v>0</v>
          </cell>
          <cell r="AE353">
            <v>0</v>
          </cell>
          <cell r="AF353">
            <v>0</v>
          </cell>
          <cell r="AH353">
            <v>0</v>
          </cell>
          <cell r="AI353">
            <v>0</v>
          </cell>
          <cell r="AK353">
            <v>0</v>
          </cell>
          <cell r="AL353">
            <v>0</v>
          </cell>
          <cell r="AN353">
            <v>0</v>
          </cell>
          <cell r="AO353">
            <v>0</v>
          </cell>
          <cell r="AQ353">
            <v>0</v>
          </cell>
          <cell r="AR353">
            <v>0</v>
          </cell>
          <cell r="AT353">
            <v>0</v>
          </cell>
        </row>
        <row r="354">
          <cell r="A354" t="str">
            <v>PurchaseGrass10FertiliserGrazing20:10:10,</v>
          </cell>
          <cell r="F354" t="str">
            <v>Purchase</v>
          </cell>
          <cell r="G354">
            <v>0</v>
          </cell>
          <cell r="H354">
            <v>0</v>
          </cell>
          <cell r="I354" t="str">
            <v>20:10:10</v>
          </cell>
          <cell r="J354" t="str">
            <v>Grass10</v>
          </cell>
          <cell r="K354" t="str">
            <v>Fertiliser</v>
          </cell>
          <cell r="L354" t="str">
            <v>Grazing</v>
          </cell>
          <cell r="Z354">
            <v>0</v>
          </cell>
          <cell r="AA354">
            <v>0</v>
          </cell>
          <cell r="AB354">
            <v>0</v>
          </cell>
        </row>
        <row r="355">
          <cell r="A355" t="str">
            <v>PurchaseGrass10FertiliserSilage20:08:12,</v>
          </cell>
          <cell r="F355" t="str">
            <v>Purchase</v>
          </cell>
          <cell r="G355" t="str">
            <v>Total Allocated to grazing</v>
          </cell>
          <cell r="H355">
            <v>5810.9862062696075</v>
          </cell>
          <cell r="I355">
            <v>96.040100408833354</v>
          </cell>
          <cell r="J355" t="str">
            <v>Grass11</v>
          </cell>
          <cell r="K355" t="str">
            <v>Grazing</v>
          </cell>
          <cell r="L355" t="str">
            <v>Silage</v>
          </cell>
          <cell r="Y355">
            <v>32093690.429772168</v>
          </cell>
          <cell r="Z355">
            <v>3900</v>
          </cell>
          <cell r="AA355">
            <v>1560</v>
          </cell>
          <cell r="AB355">
            <v>40634</v>
          </cell>
          <cell r="AE355">
            <v>40664</v>
          </cell>
          <cell r="AH355">
            <v>40695</v>
          </cell>
          <cell r="AK355">
            <v>40725</v>
          </cell>
          <cell r="AN355">
            <v>40756</v>
          </cell>
          <cell r="AQ355">
            <v>40787</v>
          </cell>
          <cell r="AT355">
            <v>40817</v>
          </cell>
        </row>
        <row r="356">
          <cell r="A356" t="str">
            <v>PurchaseGrass10FertiliserSilage15:15:15,</v>
          </cell>
          <cell r="F356" t="str">
            <v>Purchase</v>
          </cell>
          <cell r="G356">
            <v>0</v>
          </cell>
          <cell r="H356" t="str">
            <v>Reconcilliation</v>
          </cell>
          <cell r="I356">
            <v>0</v>
          </cell>
          <cell r="J356" t="str">
            <v>Grass11</v>
          </cell>
          <cell r="K356" t="str">
            <v>Fertiliser</v>
          </cell>
          <cell r="L356" t="str">
            <v>Silage</v>
          </cell>
          <cell r="Y356">
            <v>42439550.429772168</v>
          </cell>
          <cell r="Z356">
            <v>0</v>
          </cell>
          <cell r="AA356">
            <v>0</v>
          </cell>
          <cell r="AB356">
            <v>1246.2121212121212</v>
          </cell>
          <cell r="AE356">
            <v>1422.9541448574973</v>
          </cell>
          <cell r="AH356">
            <v>1388.1541611694772</v>
          </cell>
          <cell r="AK356">
            <v>1478.9784477237201</v>
          </cell>
          <cell r="AN356">
            <v>1500.6249339715059</v>
          </cell>
          <cell r="AQ356">
            <v>1252.940845389285</v>
          </cell>
          <cell r="AT356">
            <v>1213.7053426890054</v>
          </cell>
        </row>
        <row r="357">
          <cell r="A357" t="str">
            <v>PurchaseGrass10LimeAll0.67,</v>
          </cell>
          <cell r="D357" t="str">
            <v>BottomOfJournal</v>
          </cell>
          <cell r="F357" t="str">
            <v>Purchase</v>
          </cell>
          <cell r="G357">
            <v>30</v>
          </cell>
          <cell r="H357">
            <v>720</v>
          </cell>
          <cell r="I357">
            <v>0.67</v>
          </cell>
          <cell r="J357" t="str">
            <v>Grass10</v>
          </cell>
          <cell r="K357" t="str">
            <v>Lime</v>
          </cell>
          <cell r="L357" t="str">
            <v>All</v>
          </cell>
          <cell r="AC357">
            <v>20100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heetViews>
  <sheetFormatPr defaultRowHeight="15" x14ac:dyDescent="0.25"/>
  <sheetData/>
  <pageMargins left="0.25" right="0.25" top="0.75" bottom="0.75" header="0.3" footer="0.3"/>
  <pageSetup paperSize="9" scale="6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zoomScale="90" zoomScaleNormal="90" workbookViewId="0">
      <selection activeCell="G45" sqref="G45"/>
    </sheetView>
  </sheetViews>
  <sheetFormatPr defaultRowHeight="15" x14ac:dyDescent="0.25"/>
  <cols>
    <col min="1" max="1" width="24.28515625" customWidth="1"/>
    <col min="2" max="3" width="20.7109375" bestFit="1" customWidth="1"/>
    <col min="4" max="4" width="10.42578125" bestFit="1" customWidth="1"/>
    <col min="5" max="5" width="10.5703125" bestFit="1" customWidth="1"/>
    <col min="6" max="6" width="18" bestFit="1" customWidth="1"/>
    <col min="7" max="8" width="20.7109375" bestFit="1" customWidth="1"/>
    <col min="9" max="9" width="20.7109375" hidden="1" customWidth="1"/>
    <col min="10" max="10" width="14.140625" hidden="1" customWidth="1"/>
    <col min="11" max="11" width="11" hidden="1" customWidth="1"/>
    <col min="12" max="12" width="10.5703125" hidden="1" customWidth="1"/>
    <col min="13" max="13" width="12.7109375" hidden="1" customWidth="1"/>
  </cols>
  <sheetData>
    <row r="1" spans="1:13" ht="15.75" thickBot="1" x14ac:dyDescent="0.3">
      <c r="A1" s="27" t="s">
        <v>0</v>
      </c>
      <c r="B1" s="67" t="e">
        <f>#REF!</f>
        <v>#REF!</v>
      </c>
      <c r="C1" s="28"/>
      <c r="D1" s="28"/>
      <c r="E1" s="28"/>
      <c r="F1" s="28"/>
      <c r="G1" s="29"/>
    </row>
    <row r="2" spans="1:13" ht="15.75" thickBot="1" x14ac:dyDescent="0.3">
      <c r="A2" s="27"/>
      <c r="B2" s="27"/>
      <c r="C2" s="29"/>
      <c r="D2" s="29"/>
      <c r="E2" s="29"/>
      <c r="F2" s="29"/>
      <c r="G2" s="29"/>
    </row>
    <row r="3" spans="1:13" ht="15.75" thickBot="1" x14ac:dyDescent="0.3">
      <c r="A3" s="27" t="s">
        <v>1</v>
      </c>
      <c r="B3" s="58" t="e">
        <f>#REF!</f>
        <v>#REF!</v>
      </c>
      <c r="C3" s="30"/>
      <c r="D3" s="30"/>
      <c r="E3" s="30"/>
      <c r="F3" s="30"/>
      <c r="G3" s="29"/>
    </row>
    <row r="4" spans="1:13" ht="15.75" thickBot="1" x14ac:dyDescent="0.3">
      <c r="A4" s="27" t="s">
        <v>8</v>
      </c>
      <c r="B4" s="58" t="e">
        <f>#REF!</f>
        <v>#REF!</v>
      </c>
      <c r="C4" s="30"/>
      <c r="D4" s="30"/>
      <c r="E4" s="30"/>
      <c r="F4" s="30"/>
      <c r="G4" s="29"/>
    </row>
    <row r="5" spans="1:13" x14ac:dyDescent="0.25">
      <c r="A5" s="27"/>
      <c r="B5" s="27"/>
      <c r="C5" s="29"/>
      <c r="D5" s="29"/>
      <c r="E5" s="29"/>
      <c r="F5" s="29"/>
      <c r="G5" s="29"/>
    </row>
    <row r="6" spans="1:13" x14ac:dyDescent="0.25">
      <c r="A6" s="31" t="s">
        <v>39</v>
      </c>
      <c r="B6" s="27"/>
      <c r="C6" s="29"/>
      <c r="D6" s="29"/>
      <c r="E6" s="29"/>
      <c r="F6" s="29"/>
      <c r="G6" s="29"/>
    </row>
    <row r="7" spans="1:13" x14ac:dyDescent="0.25">
      <c r="A7" s="42" t="s">
        <v>40</v>
      </c>
      <c r="B7" s="274" t="s">
        <v>41</v>
      </c>
      <c r="C7" s="275"/>
      <c r="D7" s="275"/>
      <c r="E7" s="275"/>
      <c r="F7" s="276"/>
      <c r="G7" s="32" t="s">
        <v>42</v>
      </c>
      <c r="H7" s="33" t="s">
        <v>43</v>
      </c>
      <c r="I7" s="271" t="s">
        <v>52</v>
      </c>
      <c r="J7" s="272"/>
      <c r="K7" s="272"/>
      <c r="L7" s="272"/>
      <c r="M7" s="273"/>
    </row>
    <row r="8" spans="1:13" x14ac:dyDescent="0.25">
      <c r="A8" s="34"/>
      <c r="B8" s="36" t="s">
        <v>20</v>
      </c>
      <c r="C8" s="36" t="s">
        <v>59</v>
      </c>
      <c r="D8" s="36" t="s">
        <v>50</v>
      </c>
      <c r="E8" s="36" t="s">
        <v>49</v>
      </c>
      <c r="F8" s="36" t="s">
        <v>51</v>
      </c>
      <c r="G8" s="37" t="s">
        <v>44</v>
      </c>
      <c r="H8" s="38"/>
      <c r="I8" s="36" t="s">
        <v>20</v>
      </c>
      <c r="J8" s="36" t="s">
        <v>59</v>
      </c>
      <c r="K8" s="36" t="s">
        <v>50</v>
      </c>
      <c r="L8" s="36" t="s">
        <v>49</v>
      </c>
      <c r="M8" s="35" t="s">
        <v>51</v>
      </c>
    </row>
    <row r="9" spans="1:13" x14ac:dyDescent="0.25">
      <c r="A9" s="62">
        <v>41699</v>
      </c>
      <c r="B9" s="63"/>
      <c r="C9" s="63"/>
      <c r="D9" s="63"/>
      <c r="E9" s="63"/>
      <c r="F9" s="63"/>
      <c r="G9" s="64"/>
      <c r="H9" s="65">
        <f>(B9*G9)+(C9*G9)+(D9*G9)+(E9*G9)+(F9*G9)</f>
        <v>0</v>
      </c>
      <c r="I9" s="10" t="str">
        <f>IFERROR(B9*($H9/B9),"-")</f>
        <v>-</v>
      </c>
      <c r="J9" s="10" t="str">
        <f>IFERROR(C9*($H9/C9),"-")</f>
        <v>-</v>
      </c>
      <c r="K9" s="10" t="str">
        <f>IFERROR(D9*($H9/D9),"-")</f>
        <v>-</v>
      </c>
      <c r="L9" s="10" t="str">
        <f>IFERROR(E9*($H9/E9),"-")</f>
        <v>-</v>
      </c>
      <c r="M9" s="10" t="str">
        <f>IFERROR(F9*($H9/F9),"-")</f>
        <v>-</v>
      </c>
    </row>
    <row r="10" spans="1:13" x14ac:dyDescent="0.25">
      <c r="A10" s="48"/>
      <c r="B10" s="49"/>
      <c r="C10" s="49"/>
      <c r="D10" s="49"/>
      <c r="E10" s="49"/>
      <c r="F10" s="49"/>
      <c r="G10" s="49"/>
      <c r="H10" s="39">
        <f t="shared" ref="H10:H22" si="0">(B10*G10)+(D10*G10)+(E10*G10)+(F10*G10)</f>
        <v>0</v>
      </c>
      <c r="I10" s="10" t="str">
        <f t="shared" ref="I10:I22" si="1">IFERROR(B10*(H10/B10),"-")</f>
        <v>-</v>
      </c>
      <c r="J10" s="10" t="str">
        <f t="shared" ref="J10:J22" si="2">IFERROR(C10*($H10/C10),"-")</f>
        <v>-</v>
      </c>
      <c r="K10" s="10" t="str">
        <f t="shared" ref="K10:K22" si="3">IFERROR(D10*($H10/D10),"-")</f>
        <v>-</v>
      </c>
      <c r="L10" s="10" t="str">
        <f t="shared" ref="L10:L22" si="4">IFERROR(E10*($H10/E10),"-")</f>
        <v>-</v>
      </c>
      <c r="M10" s="10" t="str">
        <f t="shared" ref="M10:M22" si="5">IFERROR(F10*($H10/F10),"-")</f>
        <v>-</v>
      </c>
    </row>
    <row r="11" spans="1:13" x14ac:dyDescent="0.25">
      <c r="A11" s="48"/>
      <c r="B11" s="49"/>
      <c r="C11" s="49"/>
      <c r="D11" s="49"/>
      <c r="E11" s="49"/>
      <c r="F11" s="49"/>
      <c r="G11" s="49"/>
      <c r="H11" s="39">
        <f t="shared" si="0"/>
        <v>0</v>
      </c>
      <c r="I11" s="10" t="str">
        <f t="shared" si="1"/>
        <v>-</v>
      </c>
      <c r="J11" s="10" t="str">
        <f t="shared" si="2"/>
        <v>-</v>
      </c>
      <c r="K11" s="10" t="str">
        <f t="shared" si="3"/>
        <v>-</v>
      </c>
      <c r="L11" s="10" t="str">
        <f t="shared" si="4"/>
        <v>-</v>
      </c>
      <c r="M11" s="10" t="str">
        <f t="shared" si="5"/>
        <v>-</v>
      </c>
    </row>
    <row r="12" spans="1:13" x14ac:dyDescent="0.25">
      <c r="A12" s="48"/>
      <c r="B12" s="49"/>
      <c r="C12" s="49"/>
      <c r="D12" s="49"/>
      <c r="E12" s="49"/>
      <c r="F12" s="49"/>
      <c r="G12" s="49"/>
      <c r="H12" s="39">
        <f t="shared" si="0"/>
        <v>0</v>
      </c>
      <c r="I12" s="10" t="str">
        <f t="shared" si="1"/>
        <v>-</v>
      </c>
      <c r="J12" s="10" t="str">
        <f t="shared" si="2"/>
        <v>-</v>
      </c>
      <c r="K12" s="10" t="str">
        <f t="shared" si="3"/>
        <v>-</v>
      </c>
      <c r="L12" s="10" t="str">
        <f t="shared" si="4"/>
        <v>-</v>
      </c>
      <c r="M12" s="10" t="str">
        <f t="shared" si="5"/>
        <v>-</v>
      </c>
    </row>
    <row r="13" spans="1:13" x14ac:dyDescent="0.25">
      <c r="A13" s="48"/>
      <c r="B13" s="49"/>
      <c r="C13" s="49"/>
      <c r="D13" s="49"/>
      <c r="E13" s="49"/>
      <c r="F13" s="49"/>
      <c r="G13" s="49"/>
      <c r="H13" s="39">
        <f t="shared" si="0"/>
        <v>0</v>
      </c>
      <c r="I13" s="10" t="str">
        <f t="shared" si="1"/>
        <v>-</v>
      </c>
      <c r="J13" s="10" t="str">
        <f t="shared" si="2"/>
        <v>-</v>
      </c>
      <c r="K13" s="10" t="str">
        <f t="shared" si="3"/>
        <v>-</v>
      </c>
      <c r="L13" s="10" t="str">
        <f t="shared" si="4"/>
        <v>-</v>
      </c>
      <c r="M13" s="10" t="str">
        <f t="shared" si="5"/>
        <v>-</v>
      </c>
    </row>
    <row r="14" spans="1:13" x14ac:dyDescent="0.25">
      <c r="A14" s="48"/>
      <c r="B14" s="49"/>
      <c r="C14" s="49"/>
      <c r="D14" s="49"/>
      <c r="E14" s="49"/>
      <c r="F14" s="49"/>
      <c r="G14" s="49"/>
      <c r="H14" s="39">
        <f t="shared" si="0"/>
        <v>0</v>
      </c>
      <c r="I14" s="10" t="str">
        <f t="shared" si="1"/>
        <v>-</v>
      </c>
      <c r="J14" s="10" t="str">
        <f t="shared" si="2"/>
        <v>-</v>
      </c>
      <c r="K14" s="10" t="str">
        <f t="shared" si="3"/>
        <v>-</v>
      </c>
      <c r="L14" s="10" t="str">
        <f t="shared" si="4"/>
        <v>-</v>
      </c>
      <c r="M14" s="10" t="str">
        <f t="shared" si="5"/>
        <v>-</v>
      </c>
    </row>
    <row r="15" spans="1:13" x14ac:dyDescent="0.25">
      <c r="A15" s="48"/>
      <c r="B15" s="49"/>
      <c r="C15" s="49"/>
      <c r="D15" s="49"/>
      <c r="E15" s="49"/>
      <c r="F15" s="49"/>
      <c r="G15" s="49"/>
      <c r="H15" s="39">
        <f t="shared" si="0"/>
        <v>0</v>
      </c>
      <c r="I15" s="10" t="str">
        <f t="shared" si="1"/>
        <v>-</v>
      </c>
      <c r="J15" s="10" t="str">
        <f t="shared" si="2"/>
        <v>-</v>
      </c>
      <c r="K15" s="10" t="str">
        <f t="shared" si="3"/>
        <v>-</v>
      </c>
      <c r="L15" s="10" t="str">
        <f t="shared" si="4"/>
        <v>-</v>
      </c>
      <c r="M15" s="10" t="str">
        <f t="shared" si="5"/>
        <v>-</v>
      </c>
    </row>
    <row r="16" spans="1:13" x14ac:dyDescent="0.25">
      <c r="A16" s="48"/>
      <c r="B16" s="49"/>
      <c r="C16" s="49"/>
      <c r="D16" s="49"/>
      <c r="E16" s="49"/>
      <c r="F16" s="49"/>
      <c r="G16" s="49"/>
      <c r="H16" s="39">
        <f t="shared" si="0"/>
        <v>0</v>
      </c>
      <c r="I16" s="10" t="str">
        <f t="shared" si="1"/>
        <v>-</v>
      </c>
      <c r="J16" s="10" t="str">
        <f t="shared" si="2"/>
        <v>-</v>
      </c>
      <c r="K16" s="10" t="str">
        <f t="shared" si="3"/>
        <v>-</v>
      </c>
      <c r="L16" s="10" t="str">
        <f t="shared" si="4"/>
        <v>-</v>
      </c>
      <c r="M16" s="10" t="str">
        <f t="shared" si="5"/>
        <v>-</v>
      </c>
    </row>
    <row r="17" spans="1:13" x14ac:dyDescent="0.25">
      <c r="A17" s="48"/>
      <c r="B17" s="49"/>
      <c r="C17" s="49"/>
      <c r="D17" s="49"/>
      <c r="E17" s="49"/>
      <c r="F17" s="49"/>
      <c r="G17" s="49"/>
      <c r="H17" s="39">
        <f t="shared" si="0"/>
        <v>0</v>
      </c>
      <c r="I17" s="10" t="str">
        <f t="shared" si="1"/>
        <v>-</v>
      </c>
      <c r="J17" s="10" t="str">
        <f t="shared" si="2"/>
        <v>-</v>
      </c>
      <c r="K17" s="10" t="str">
        <f t="shared" si="3"/>
        <v>-</v>
      </c>
      <c r="L17" s="10" t="str">
        <f t="shared" si="4"/>
        <v>-</v>
      </c>
      <c r="M17" s="10" t="str">
        <f t="shared" si="5"/>
        <v>-</v>
      </c>
    </row>
    <row r="18" spans="1:13" x14ac:dyDescent="0.25">
      <c r="A18" s="48"/>
      <c r="B18" s="49"/>
      <c r="C18" s="49"/>
      <c r="D18" s="49"/>
      <c r="E18" s="49"/>
      <c r="F18" s="49"/>
      <c r="G18" s="49"/>
      <c r="H18" s="39">
        <f t="shared" si="0"/>
        <v>0</v>
      </c>
      <c r="I18" s="10" t="str">
        <f t="shared" si="1"/>
        <v>-</v>
      </c>
      <c r="J18" s="10" t="str">
        <f t="shared" si="2"/>
        <v>-</v>
      </c>
      <c r="K18" s="10" t="str">
        <f t="shared" si="3"/>
        <v>-</v>
      </c>
      <c r="L18" s="10" t="str">
        <f t="shared" si="4"/>
        <v>-</v>
      </c>
      <c r="M18" s="10" t="str">
        <f t="shared" si="5"/>
        <v>-</v>
      </c>
    </row>
    <row r="19" spans="1:13" x14ac:dyDescent="0.25">
      <c r="A19" s="48"/>
      <c r="B19" s="49"/>
      <c r="C19" s="49"/>
      <c r="D19" s="49"/>
      <c r="E19" s="49"/>
      <c r="F19" s="49"/>
      <c r="G19" s="49"/>
      <c r="H19" s="39">
        <f t="shared" si="0"/>
        <v>0</v>
      </c>
      <c r="I19" s="10" t="str">
        <f t="shared" si="1"/>
        <v>-</v>
      </c>
      <c r="J19" s="10" t="str">
        <f t="shared" si="2"/>
        <v>-</v>
      </c>
      <c r="K19" s="10" t="str">
        <f t="shared" si="3"/>
        <v>-</v>
      </c>
      <c r="L19" s="10" t="str">
        <f t="shared" si="4"/>
        <v>-</v>
      </c>
      <c r="M19" s="10" t="str">
        <f t="shared" si="5"/>
        <v>-</v>
      </c>
    </row>
    <row r="20" spans="1:13" x14ac:dyDescent="0.25">
      <c r="A20" s="48"/>
      <c r="B20" s="49"/>
      <c r="C20" s="49"/>
      <c r="D20" s="49"/>
      <c r="E20" s="49"/>
      <c r="F20" s="49"/>
      <c r="G20" s="49"/>
      <c r="H20" s="39">
        <f t="shared" si="0"/>
        <v>0</v>
      </c>
      <c r="I20" s="10" t="str">
        <f t="shared" si="1"/>
        <v>-</v>
      </c>
      <c r="J20" s="10" t="str">
        <f t="shared" si="2"/>
        <v>-</v>
      </c>
      <c r="K20" s="10" t="str">
        <f t="shared" si="3"/>
        <v>-</v>
      </c>
      <c r="L20" s="10" t="str">
        <f t="shared" si="4"/>
        <v>-</v>
      </c>
      <c r="M20" s="10" t="str">
        <f t="shared" si="5"/>
        <v>-</v>
      </c>
    </row>
    <row r="21" spans="1:13" x14ac:dyDescent="0.25">
      <c r="A21" s="48"/>
      <c r="B21" s="49"/>
      <c r="C21" s="49"/>
      <c r="D21" s="49"/>
      <c r="E21" s="49"/>
      <c r="F21" s="49"/>
      <c r="G21" s="49"/>
      <c r="H21" s="39">
        <f t="shared" si="0"/>
        <v>0</v>
      </c>
      <c r="I21" s="10" t="str">
        <f t="shared" si="1"/>
        <v>-</v>
      </c>
      <c r="J21" s="10" t="str">
        <f t="shared" si="2"/>
        <v>-</v>
      </c>
      <c r="K21" s="10" t="str">
        <f t="shared" si="3"/>
        <v>-</v>
      </c>
      <c r="L21" s="10" t="str">
        <f t="shared" si="4"/>
        <v>-</v>
      </c>
      <c r="M21" s="10" t="str">
        <f t="shared" si="5"/>
        <v>-</v>
      </c>
    </row>
    <row r="22" spans="1:13" x14ac:dyDescent="0.25">
      <c r="A22" s="48"/>
      <c r="B22" s="49"/>
      <c r="C22" s="49"/>
      <c r="D22" s="49"/>
      <c r="E22" s="49"/>
      <c r="F22" s="49"/>
      <c r="G22" s="49"/>
      <c r="H22" s="39">
        <f t="shared" si="0"/>
        <v>0</v>
      </c>
      <c r="I22" s="10" t="str">
        <f t="shared" si="1"/>
        <v>-</v>
      </c>
      <c r="J22" s="10" t="str">
        <f t="shared" si="2"/>
        <v>-</v>
      </c>
      <c r="K22" s="10" t="str">
        <f t="shared" si="3"/>
        <v>-</v>
      </c>
      <c r="L22" s="10" t="str">
        <f t="shared" si="4"/>
        <v>-</v>
      </c>
      <c r="M22" s="10" t="str">
        <f t="shared" si="5"/>
        <v>-</v>
      </c>
    </row>
    <row r="23" spans="1:13" x14ac:dyDescent="0.25">
      <c r="A23" s="12" t="s">
        <v>60</v>
      </c>
      <c r="B23" s="4">
        <f>SUM(B10:B22)</f>
        <v>0</v>
      </c>
      <c r="C23" s="4">
        <f t="shared" ref="C23:F23" si="6">SUM(C10:C22)</f>
        <v>0</v>
      </c>
      <c r="D23" s="4">
        <f t="shared" si="6"/>
        <v>0</v>
      </c>
      <c r="E23" s="4">
        <f t="shared" si="6"/>
        <v>0</v>
      </c>
      <c r="F23" s="4">
        <f t="shared" si="6"/>
        <v>0</v>
      </c>
      <c r="G23" s="12" t="s">
        <v>26</v>
      </c>
      <c r="H23" s="11">
        <f t="shared" ref="H23:M23" si="7">SUM(H10:H22)</f>
        <v>0</v>
      </c>
      <c r="I23" s="40">
        <f t="shared" si="7"/>
        <v>0</v>
      </c>
      <c r="J23" s="40">
        <f t="shared" si="7"/>
        <v>0</v>
      </c>
      <c r="K23" s="40">
        <f t="shared" si="7"/>
        <v>0</v>
      </c>
      <c r="L23" s="40">
        <f t="shared" si="7"/>
        <v>0</v>
      </c>
      <c r="M23" s="40">
        <f t="shared" si="7"/>
        <v>0</v>
      </c>
    </row>
    <row r="24" spans="1:13" x14ac:dyDescent="0.25">
      <c r="H24" s="9" t="s">
        <v>45</v>
      </c>
      <c r="I24" s="41" t="str">
        <f>IFERROR(I23/B23,"0")</f>
        <v>0</v>
      </c>
      <c r="J24" s="41" t="str">
        <f t="shared" ref="J24:M24" si="8">IFERROR(J23/C23,"0")</f>
        <v>0</v>
      </c>
      <c r="K24" s="41" t="str">
        <f t="shared" si="8"/>
        <v>0</v>
      </c>
      <c r="L24" s="41" t="str">
        <f t="shared" si="8"/>
        <v>0</v>
      </c>
      <c r="M24" s="41" t="str">
        <f t="shared" si="8"/>
        <v>0</v>
      </c>
    </row>
    <row r="25" spans="1:13" x14ac:dyDescent="0.25">
      <c r="B25" s="3" t="s">
        <v>46</v>
      </c>
    </row>
    <row r="26" spans="1:13" x14ac:dyDescent="0.25">
      <c r="B26" s="42" t="s">
        <v>40</v>
      </c>
      <c r="C26" s="274" t="s">
        <v>41</v>
      </c>
      <c r="D26" s="275"/>
      <c r="E26" s="275"/>
      <c r="F26" s="276"/>
      <c r="G26" s="32" t="s">
        <v>47</v>
      </c>
      <c r="H26" s="46" t="s">
        <v>43</v>
      </c>
      <c r="I26" s="268" t="s">
        <v>52</v>
      </c>
      <c r="J26" s="270"/>
      <c r="K26" s="270"/>
      <c r="L26" s="269"/>
    </row>
    <row r="27" spans="1:13" x14ac:dyDescent="0.25">
      <c r="B27" s="34"/>
      <c r="C27" s="37" t="s">
        <v>48</v>
      </c>
      <c r="D27" s="36" t="s">
        <v>4</v>
      </c>
      <c r="E27" s="36" t="s">
        <v>5</v>
      </c>
      <c r="F27" s="35" t="s">
        <v>38</v>
      </c>
      <c r="G27" s="37" t="s">
        <v>44</v>
      </c>
      <c r="H27" s="47"/>
      <c r="I27" s="20" t="s">
        <v>48</v>
      </c>
      <c r="J27" s="14" t="s">
        <v>4</v>
      </c>
      <c r="K27" s="14" t="s">
        <v>5</v>
      </c>
      <c r="L27" s="15" t="s">
        <v>38</v>
      </c>
    </row>
    <row r="28" spans="1:13" x14ac:dyDescent="0.25">
      <c r="B28" s="62">
        <v>41881</v>
      </c>
      <c r="C28" s="63"/>
      <c r="D28" s="63"/>
      <c r="E28" s="63"/>
      <c r="F28" s="63"/>
      <c r="G28" s="63"/>
      <c r="H28" s="39">
        <f>(C28*G28)+(E28*G28)+(F28*G28)+(D28*G28)</f>
        <v>0</v>
      </c>
      <c r="I28" s="2" t="str">
        <f t="shared" ref="I28:J39" si="9">IFERROR(C28*($H28/C28),"-")</f>
        <v>-</v>
      </c>
      <c r="J28" s="2" t="str">
        <f t="shared" si="9"/>
        <v>-</v>
      </c>
      <c r="K28" s="43" t="str">
        <f t="shared" ref="K28:L39" si="10">IFERROR(E28*($H28/E28),"-")</f>
        <v>-</v>
      </c>
      <c r="L28" s="43" t="str">
        <f t="shared" si="10"/>
        <v>-</v>
      </c>
    </row>
    <row r="29" spans="1:13" x14ac:dyDescent="0.25">
      <c r="B29" s="50"/>
      <c r="C29" s="51">
        <v>0</v>
      </c>
      <c r="D29" s="51"/>
      <c r="E29" s="51"/>
      <c r="F29" s="51"/>
      <c r="G29" s="51">
        <v>0</v>
      </c>
      <c r="H29" s="39">
        <f>(C29*G29)+(D29*G29)+(E29*G29)+(F29*G29)</f>
        <v>0</v>
      </c>
      <c r="I29" s="2" t="str">
        <f t="shared" si="9"/>
        <v>-</v>
      </c>
      <c r="J29" s="2" t="str">
        <f t="shared" si="9"/>
        <v>-</v>
      </c>
      <c r="K29" s="43" t="str">
        <f t="shared" si="10"/>
        <v>-</v>
      </c>
      <c r="L29" s="43" t="str">
        <f t="shared" si="10"/>
        <v>-</v>
      </c>
    </row>
    <row r="30" spans="1:13" x14ac:dyDescent="0.25">
      <c r="B30" s="50"/>
      <c r="C30" s="51">
        <v>0</v>
      </c>
      <c r="D30" s="51"/>
      <c r="E30" s="51"/>
      <c r="F30" s="51"/>
      <c r="G30" s="51">
        <v>0</v>
      </c>
      <c r="H30" s="39">
        <f t="shared" ref="H30:H39" si="11">(C30*G30)+(D30*G30)+(E30*G30)+(F30*G30)</f>
        <v>0</v>
      </c>
      <c r="I30" s="2" t="str">
        <f t="shared" si="9"/>
        <v>-</v>
      </c>
      <c r="J30" s="2" t="str">
        <f t="shared" si="9"/>
        <v>-</v>
      </c>
      <c r="K30" s="43" t="str">
        <f t="shared" si="10"/>
        <v>-</v>
      </c>
      <c r="L30" s="43" t="str">
        <f t="shared" si="10"/>
        <v>-</v>
      </c>
    </row>
    <row r="31" spans="1:13" x14ac:dyDescent="0.25">
      <c r="B31" s="50"/>
      <c r="C31" s="51"/>
      <c r="D31" s="51"/>
      <c r="E31" s="51"/>
      <c r="F31" s="51">
        <v>0</v>
      </c>
      <c r="G31" s="51">
        <v>0</v>
      </c>
      <c r="H31" s="39">
        <f t="shared" si="11"/>
        <v>0</v>
      </c>
      <c r="I31" s="2" t="str">
        <f t="shared" si="9"/>
        <v>-</v>
      </c>
      <c r="J31" s="2" t="str">
        <f t="shared" si="9"/>
        <v>-</v>
      </c>
      <c r="K31" s="43" t="str">
        <f t="shared" si="10"/>
        <v>-</v>
      </c>
      <c r="L31" s="43" t="str">
        <f t="shared" si="10"/>
        <v>-</v>
      </c>
    </row>
    <row r="32" spans="1:13" x14ac:dyDescent="0.25">
      <c r="B32" s="50"/>
      <c r="C32" s="51"/>
      <c r="D32" s="51"/>
      <c r="E32" s="51">
        <v>0</v>
      </c>
      <c r="F32" s="51"/>
      <c r="G32" s="51">
        <v>0</v>
      </c>
      <c r="H32" s="39">
        <f t="shared" si="11"/>
        <v>0</v>
      </c>
      <c r="I32" s="2" t="str">
        <f t="shared" si="9"/>
        <v>-</v>
      </c>
      <c r="J32" s="2" t="str">
        <f t="shared" si="9"/>
        <v>-</v>
      </c>
      <c r="K32" s="43" t="str">
        <f t="shared" si="10"/>
        <v>-</v>
      </c>
      <c r="L32" s="43" t="str">
        <f t="shared" si="10"/>
        <v>-</v>
      </c>
    </row>
    <row r="33" spans="2:12" x14ac:dyDescent="0.25">
      <c r="B33" s="50"/>
      <c r="C33" s="51"/>
      <c r="D33" s="51"/>
      <c r="E33" s="51"/>
      <c r="F33" s="51"/>
      <c r="G33" s="51"/>
      <c r="H33" s="39">
        <f t="shared" si="11"/>
        <v>0</v>
      </c>
      <c r="I33" s="2" t="str">
        <f t="shared" si="9"/>
        <v>-</v>
      </c>
      <c r="J33" s="2" t="str">
        <f t="shared" si="9"/>
        <v>-</v>
      </c>
      <c r="K33" s="43" t="str">
        <f t="shared" si="10"/>
        <v>-</v>
      </c>
      <c r="L33" s="43" t="str">
        <f t="shared" si="10"/>
        <v>-</v>
      </c>
    </row>
    <row r="34" spans="2:12" x14ac:dyDescent="0.25">
      <c r="B34" s="50"/>
      <c r="C34" s="51"/>
      <c r="D34" s="51"/>
      <c r="E34" s="51"/>
      <c r="F34" s="51"/>
      <c r="G34" s="51"/>
      <c r="H34" s="39">
        <f t="shared" si="11"/>
        <v>0</v>
      </c>
      <c r="I34" s="2" t="str">
        <f t="shared" si="9"/>
        <v>-</v>
      </c>
      <c r="J34" s="2" t="str">
        <f t="shared" si="9"/>
        <v>-</v>
      </c>
      <c r="K34" s="43" t="str">
        <f t="shared" si="10"/>
        <v>-</v>
      </c>
      <c r="L34" s="43" t="str">
        <f t="shared" si="10"/>
        <v>-</v>
      </c>
    </row>
    <row r="35" spans="2:12" x14ac:dyDescent="0.25">
      <c r="B35" s="50"/>
      <c r="C35" s="51"/>
      <c r="D35" s="51"/>
      <c r="E35" s="51"/>
      <c r="F35" s="51"/>
      <c r="G35" s="51"/>
      <c r="H35" s="39">
        <f t="shared" si="11"/>
        <v>0</v>
      </c>
      <c r="I35" s="2" t="str">
        <f t="shared" si="9"/>
        <v>-</v>
      </c>
      <c r="J35" s="2" t="str">
        <f t="shared" si="9"/>
        <v>-</v>
      </c>
      <c r="K35" s="43" t="str">
        <f t="shared" si="10"/>
        <v>-</v>
      </c>
      <c r="L35" s="43" t="str">
        <f t="shared" si="10"/>
        <v>-</v>
      </c>
    </row>
    <row r="36" spans="2:12" x14ac:dyDescent="0.25">
      <c r="B36" s="50"/>
      <c r="C36" s="51"/>
      <c r="D36" s="51"/>
      <c r="E36" s="51"/>
      <c r="F36" s="51"/>
      <c r="G36" s="51"/>
      <c r="H36" s="39">
        <f t="shared" si="11"/>
        <v>0</v>
      </c>
      <c r="I36" s="2" t="str">
        <f t="shared" si="9"/>
        <v>-</v>
      </c>
      <c r="J36" s="2" t="str">
        <f t="shared" si="9"/>
        <v>-</v>
      </c>
      <c r="K36" s="43" t="str">
        <f t="shared" si="10"/>
        <v>-</v>
      </c>
      <c r="L36" s="43" t="str">
        <f t="shared" si="10"/>
        <v>-</v>
      </c>
    </row>
    <row r="37" spans="2:12" x14ac:dyDescent="0.25">
      <c r="B37" s="50"/>
      <c r="C37" s="51"/>
      <c r="D37" s="51"/>
      <c r="E37" s="51"/>
      <c r="F37" s="51"/>
      <c r="G37" s="51"/>
      <c r="H37" s="39">
        <f t="shared" si="11"/>
        <v>0</v>
      </c>
      <c r="I37" s="2" t="str">
        <f t="shared" si="9"/>
        <v>-</v>
      </c>
      <c r="J37" s="2" t="str">
        <f t="shared" si="9"/>
        <v>-</v>
      </c>
      <c r="K37" s="43" t="str">
        <f t="shared" si="10"/>
        <v>-</v>
      </c>
      <c r="L37" s="43" t="str">
        <f t="shared" si="10"/>
        <v>-</v>
      </c>
    </row>
    <row r="38" spans="2:12" x14ac:dyDescent="0.25">
      <c r="B38" s="50"/>
      <c r="C38" s="51"/>
      <c r="D38" s="51"/>
      <c r="E38" s="51"/>
      <c r="F38" s="51"/>
      <c r="G38" s="51"/>
      <c r="H38" s="39">
        <f t="shared" si="11"/>
        <v>0</v>
      </c>
      <c r="I38" s="2" t="str">
        <f t="shared" si="9"/>
        <v>-</v>
      </c>
      <c r="J38" s="2" t="str">
        <f t="shared" si="9"/>
        <v>-</v>
      </c>
      <c r="K38" s="43" t="str">
        <f t="shared" si="10"/>
        <v>-</v>
      </c>
      <c r="L38" s="43" t="str">
        <f t="shared" si="10"/>
        <v>-</v>
      </c>
    </row>
    <row r="39" spans="2:12" x14ac:dyDescent="0.25">
      <c r="B39" s="50"/>
      <c r="C39" s="51"/>
      <c r="D39" s="51"/>
      <c r="E39" s="51"/>
      <c r="F39" s="51"/>
      <c r="G39" s="51"/>
      <c r="H39" s="39">
        <f t="shared" si="11"/>
        <v>0</v>
      </c>
      <c r="I39" s="2" t="str">
        <f t="shared" si="9"/>
        <v>-</v>
      </c>
      <c r="J39" s="2" t="str">
        <f t="shared" si="9"/>
        <v>-</v>
      </c>
      <c r="K39" s="43" t="str">
        <f t="shared" si="10"/>
        <v>-</v>
      </c>
      <c r="L39" s="43" t="str">
        <f t="shared" si="10"/>
        <v>-</v>
      </c>
    </row>
    <row r="40" spans="2:12" x14ac:dyDescent="0.25">
      <c r="B40" s="12" t="s">
        <v>26</v>
      </c>
      <c r="C40" s="8">
        <f>SUM(C29:C39)</f>
        <v>0</v>
      </c>
      <c r="D40" s="8">
        <f t="shared" ref="D40:F40" si="12">SUM(D29:D39)</f>
        <v>0</v>
      </c>
      <c r="E40" s="8">
        <f t="shared" si="12"/>
        <v>0</v>
      </c>
      <c r="F40" s="8">
        <f t="shared" si="12"/>
        <v>0</v>
      </c>
      <c r="G40" s="12" t="s">
        <v>26</v>
      </c>
      <c r="H40" s="11">
        <f>SUM(H29:H39)</f>
        <v>0</v>
      </c>
      <c r="I40" s="44">
        <f>SUM(I29:I39)</f>
        <v>0</v>
      </c>
      <c r="J40" s="44">
        <f t="shared" ref="J40:L40" si="13">SUM(J29:J39)</f>
        <v>0</v>
      </c>
      <c r="K40" s="44">
        <f t="shared" si="13"/>
        <v>0</v>
      </c>
      <c r="L40" s="44">
        <f t="shared" si="13"/>
        <v>0</v>
      </c>
    </row>
    <row r="41" spans="2:12" x14ac:dyDescent="0.25">
      <c r="H41" s="9" t="s">
        <v>45</v>
      </c>
      <c r="I41" s="45" t="str">
        <f>IFERROR(I40/C40,"0")</f>
        <v>0</v>
      </c>
      <c r="J41" s="45" t="str">
        <f t="shared" ref="J41:L41" si="14">IFERROR(J40/D40,"0")</f>
        <v>0</v>
      </c>
      <c r="K41" s="45" t="str">
        <f t="shared" si="14"/>
        <v>0</v>
      </c>
      <c r="L41" s="45" t="str">
        <f t="shared" si="14"/>
        <v>0</v>
      </c>
    </row>
  </sheetData>
  <mergeCells count="4">
    <mergeCell ref="C26:F26"/>
    <mergeCell ref="I26:L26"/>
    <mergeCell ref="B7:F7"/>
    <mergeCell ref="I7:M7"/>
  </mergeCells>
  <pageMargins left="0.25" right="0.25" top="0.75" bottom="0.75"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4"/>
  <sheetViews>
    <sheetView tabSelected="1" zoomScale="130" zoomScaleNormal="130" workbookViewId="0">
      <selection activeCell="N6" sqref="N6"/>
    </sheetView>
  </sheetViews>
  <sheetFormatPr defaultColWidth="9.140625" defaultRowHeight="12.75" x14ac:dyDescent="0.2"/>
  <cols>
    <col min="1" max="1" width="9.140625" style="118" customWidth="1"/>
    <col min="2" max="2" width="9.140625" style="118"/>
    <col min="3" max="3" width="10.42578125" style="118" bestFit="1" customWidth="1"/>
    <col min="4" max="16384" width="9.140625" style="118"/>
  </cols>
  <sheetData>
    <row r="1" spans="1:12" s="112" customFormat="1" ht="23.25" x14ac:dyDescent="0.35">
      <c r="A1" s="111" t="s">
        <v>265</v>
      </c>
    </row>
    <row r="3" spans="1:12" s="113" customFormat="1" ht="15.75" x14ac:dyDescent="0.25">
      <c r="A3" s="113" t="s">
        <v>132</v>
      </c>
      <c r="C3" s="114"/>
      <c r="D3" s="114"/>
      <c r="E3" s="114"/>
      <c r="L3" s="267"/>
    </row>
    <row r="4" spans="1:12" s="113" customFormat="1" ht="15.75" x14ac:dyDescent="0.25"/>
    <row r="5" spans="1:12" s="113" customFormat="1" ht="15.75" x14ac:dyDescent="0.25">
      <c r="A5" s="113" t="s">
        <v>249</v>
      </c>
    </row>
    <row r="6" spans="1:12" s="113" customFormat="1" ht="15.75" x14ac:dyDescent="0.25"/>
    <row r="7" spans="1:12" s="113" customFormat="1" ht="15.75" x14ac:dyDescent="0.25">
      <c r="B7" s="115"/>
      <c r="C7" s="116" t="s">
        <v>128</v>
      </c>
    </row>
    <row r="8" spans="1:12" s="113" customFormat="1" ht="15.75" x14ac:dyDescent="0.25">
      <c r="B8" s="117"/>
      <c r="C8" s="118" t="s">
        <v>129</v>
      </c>
    </row>
    <row r="9" spans="1:12" s="113" customFormat="1" ht="15.75" x14ac:dyDescent="0.25">
      <c r="B9" s="119"/>
      <c r="C9" s="118" t="s">
        <v>130</v>
      </c>
    </row>
    <row r="10" spans="1:12" s="113" customFormat="1" ht="15.75" x14ac:dyDescent="0.25"/>
    <row r="11" spans="1:12" s="113" customFormat="1" ht="15.75" x14ac:dyDescent="0.25">
      <c r="A11" s="113" t="s">
        <v>250</v>
      </c>
    </row>
    <row r="12" spans="1:12" s="113" customFormat="1" ht="15.75" x14ac:dyDescent="0.25"/>
    <row r="13" spans="1:12" s="113" customFormat="1" ht="15.75" x14ac:dyDescent="0.25">
      <c r="B13" s="113" t="s">
        <v>259</v>
      </c>
    </row>
    <row r="14" spans="1:12" s="113" customFormat="1" ht="15.75" x14ac:dyDescent="0.25"/>
    <row r="15" spans="1:12" s="113" customFormat="1" ht="15.75" x14ac:dyDescent="0.25">
      <c r="B15" s="113" t="s">
        <v>251</v>
      </c>
    </row>
    <row r="16" spans="1:12" s="113" customFormat="1" ht="15.75" x14ac:dyDescent="0.25"/>
    <row r="17" spans="2:3" s="113" customFormat="1" ht="15.75" x14ac:dyDescent="0.25">
      <c r="B17" s="114" t="s">
        <v>133</v>
      </c>
      <c r="C17" s="114"/>
    </row>
    <row r="18" spans="2:3" s="113" customFormat="1" ht="15.75" x14ac:dyDescent="0.25">
      <c r="B18" s="113" t="s">
        <v>149</v>
      </c>
    </row>
    <row r="20" spans="2:3" s="113" customFormat="1" ht="15.75" x14ac:dyDescent="0.25">
      <c r="B20" s="113" t="s">
        <v>150</v>
      </c>
    </row>
    <row r="21" spans="2:3" s="113" customFormat="1" ht="15.75" x14ac:dyDescent="0.25"/>
    <row r="22" spans="2:3" s="113" customFormat="1" ht="15.75" x14ac:dyDescent="0.25">
      <c r="B22" s="114" t="s">
        <v>151</v>
      </c>
      <c r="C22" s="120"/>
    </row>
    <row r="23" spans="2:3" s="113" customFormat="1" ht="15.75" x14ac:dyDescent="0.25">
      <c r="B23" s="113" t="s">
        <v>252</v>
      </c>
      <c r="C23" s="120"/>
    </row>
    <row r="24" spans="2:3" s="113" customFormat="1" ht="15.75" x14ac:dyDescent="0.25"/>
    <row r="25" spans="2:3" s="113" customFormat="1" ht="15.75" x14ac:dyDescent="0.25">
      <c r="B25" s="114" t="s">
        <v>152</v>
      </c>
    </row>
    <row r="26" spans="2:3" s="113" customFormat="1" ht="15.75" x14ac:dyDescent="0.25">
      <c r="B26" s="113" t="s">
        <v>253</v>
      </c>
    </row>
    <row r="27" spans="2:3" s="113" customFormat="1" ht="15.75" x14ac:dyDescent="0.25"/>
    <row r="28" spans="2:3" s="113" customFormat="1" ht="15.75" x14ac:dyDescent="0.25">
      <c r="B28" s="114" t="s">
        <v>244</v>
      </c>
    </row>
    <row r="29" spans="2:3" s="113" customFormat="1" ht="15.75" x14ac:dyDescent="0.25">
      <c r="B29" s="113" t="s">
        <v>254</v>
      </c>
    </row>
    <row r="30" spans="2:3" s="113" customFormat="1" ht="15.75" x14ac:dyDescent="0.25">
      <c r="B30" s="114"/>
    </row>
    <row r="31" spans="2:3" s="113" customFormat="1" ht="15.75" x14ac:dyDescent="0.25">
      <c r="B31" s="114" t="s">
        <v>245</v>
      </c>
    </row>
    <row r="32" spans="2:3" s="113" customFormat="1" ht="15.75" x14ac:dyDescent="0.25">
      <c r="B32" s="113" t="s">
        <v>255</v>
      </c>
    </row>
    <row r="33" spans="13:16" s="113" customFormat="1" ht="15.75" x14ac:dyDescent="0.25">
      <c r="M33" s="118"/>
      <c r="N33" s="118"/>
      <c r="O33" s="118"/>
      <c r="P33" s="118"/>
    </row>
    <row r="34" spans="13:16" s="113" customFormat="1" ht="15.75" x14ac:dyDescent="0.25">
      <c r="M34" s="118"/>
      <c r="N34" s="118"/>
      <c r="O34" s="118"/>
      <c r="P34" s="118"/>
    </row>
    <row r="35" spans="13:16" s="113" customFormat="1" ht="15.75" x14ac:dyDescent="0.25">
      <c r="M35" s="118"/>
      <c r="N35" s="118"/>
      <c r="O35" s="118"/>
      <c r="P35" s="118"/>
    </row>
    <row r="36" spans="13:16" s="113" customFormat="1" ht="15.75" x14ac:dyDescent="0.25">
      <c r="M36" s="118"/>
      <c r="N36" s="121"/>
      <c r="O36" s="118"/>
      <c r="P36" s="118"/>
    </row>
    <row r="37" spans="13:16" s="113" customFormat="1" ht="15.75" x14ac:dyDescent="0.25">
      <c r="M37" s="118"/>
      <c r="N37" s="121" t="s">
        <v>131</v>
      </c>
      <c r="O37" s="118"/>
      <c r="P37" s="118"/>
    </row>
    <row r="38" spans="13:16" s="113" customFormat="1" ht="15.75" x14ac:dyDescent="0.25"/>
    <row r="39" spans="13:16" s="113" customFormat="1" ht="15.75" x14ac:dyDescent="0.25"/>
    <row r="40" spans="13:16" s="113" customFormat="1" ht="15.75" x14ac:dyDescent="0.25"/>
    <row r="41" spans="13:16" s="113" customFormat="1" ht="15.75" x14ac:dyDescent="0.25"/>
    <row r="42" spans="13:16" s="113" customFormat="1" ht="15.75" x14ac:dyDescent="0.25"/>
    <row r="43" spans="13:16" s="113" customFormat="1" ht="15.75" x14ac:dyDescent="0.25"/>
    <row r="44" spans="13:16" s="113" customFormat="1" ht="15.75" x14ac:dyDescent="0.25"/>
    <row r="45" spans="13:16" s="113" customFormat="1" ht="15.75" x14ac:dyDescent="0.25"/>
    <row r="46" spans="13:16" s="113" customFormat="1" ht="15.75" x14ac:dyDescent="0.25"/>
    <row r="47" spans="13:16" s="113" customFormat="1" ht="15.75" x14ac:dyDescent="0.25"/>
    <row r="48" spans="13:16" s="113" customFormat="1" ht="15.75" x14ac:dyDescent="0.25"/>
    <row r="49" s="113" customFormat="1" ht="15.75" x14ac:dyDescent="0.25"/>
    <row r="50" s="113" customFormat="1" ht="15.75" x14ac:dyDescent="0.25"/>
    <row r="51" s="113" customFormat="1" ht="15.75" x14ac:dyDescent="0.25"/>
    <row r="52" s="113" customFormat="1" ht="15.75" x14ac:dyDescent="0.25"/>
    <row r="53" s="113" customFormat="1" ht="15.75" x14ac:dyDescent="0.25"/>
    <row r="54" s="113" customFormat="1" ht="15.75" x14ac:dyDescent="0.25"/>
  </sheetData>
  <pageMargins left="0.70866141732283472" right="0.70866141732283472" top="0.74803149606299213" bottom="0.74803149606299213" header="0.31496062992125984" footer="0.31496062992125984"/>
  <pageSetup paperSize="9" scale="63" orientation="portrait" r:id="rId1"/>
  <headerFooter>
    <oddFooter>&amp;CPage &amp;P&amp;R&amp;D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7"/>
  <sheetViews>
    <sheetView zoomScale="110" zoomScaleNormal="110" workbookViewId="0">
      <selection activeCell="B16" sqref="B16"/>
    </sheetView>
  </sheetViews>
  <sheetFormatPr defaultRowHeight="15" x14ac:dyDescent="0.25"/>
  <cols>
    <col min="1" max="1" width="41.140625" bestFit="1" customWidth="1"/>
    <col min="2" max="2" width="35.7109375" customWidth="1"/>
    <col min="3" max="3" width="8.85546875" bestFit="1" customWidth="1"/>
  </cols>
  <sheetData>
    <row r="1" spans="1:7" ht="26.25" x14ac:dyDescent="0.4">
      <c r="A1" s="122" t="s">
        <v>258</v>
      </c>
    </row>
    <row r="2" spans="1:7" ht="23.25" x14ac:dyDescent="0.35">
      <c r="A2" s="123"/>
    </row>
    <row r="3" spans="1:7" s="126" customFormat="1" x14ac:dyDescent="0.25">
      <c r="A3" s="128" t="s">
        <v>134</v>
      </c>
      <c r="B3" s="206"/>
    </row>
    <row r="4" spans="1:7" s="126" customFormat="1" x14ac:dyDescent="0.25">
      <c r="A4" s="129" t="s">
        <v>135</v>
      </c>
      <c r="B4" s="206"/>
    </row>
    <row r="5" spans="1:7" s="126" customFormat="1" x14ac:dyDescent="0.25">
      <c r="A5" s="129" t="s">
        <v>136</v>
      </c>
      <c r="B5" s="206"/>
    </row>
    <row r="6" spans="1:7" s="126" customFormat="1" x14ac:dyDescent="0.25">
      <c r="A6" s="129" t="s">
        <v>137</v>
      </c>
      <c r="B6" s="206"/>
    </row>
    <row r="7" spans="1:7" s="126" customFormat="1" x14ac:dyDescent="0.25">
      <c r="A7" s="129" t="s">
        <v>138</v>
      </c>
      <c r="B7" s="206"/>
    </row>
    <row r="8" spans="1:7" s="126" customFormat="1" x14ac:dyDescent="0.25">
      <c r="A8" s="129" t="s">
        <v>139</v>
      </c>
      <c r="B8" s="206"/>
    </row>
    <row r="9" spans="1:7" s="126" customFormat="1" x14ac:dyDescent="0.25">
      <c r="A9" s="129" t="s">
        <v>140</v>
      </c>
      <c r="B9" s="206"/>
    </row>
    <row r="10" spans="1:7" s="126" customFormat="1" x14ac:dyDescent="0.25">
      <c r="A10" s="130"/>
      <c r="B10" s="144"/>
    </row>
    <row r="11" spans="1:7" s="126" customFormat="1" x14ac:dyDescent="0.25">
      <c r="A11" s="128" t="s">
        <v>256</v>
      </c>
      <c r="B11" s="131"/>
      <c r="C11" s="132"/>
      <c r="D11" s="132" t="s">
        <v>141</v>
      </c>
      <c r="E11" s="132"/>
      <c r="F11" s="132"/>
      <c r="G11" s="132"/>
    </row>
    <row r="12" spans="1:7" s="126" customFormat="1" x14ac:dyDescent="0.25">
      <c r="A12" s="128"/>
      <c r="B12" s="144"/>
    </row>
    <row r="13" spans="1:7" s="126" customFormat="1" x14ac:dyDescent="0.25">
      <c r="A13" s="130" t="s">
        <v>143</v>
      </c>
      <c r="B13" s="144"/>
      <c r="C13" s="205">
        <v>3</v>
      </c>
    </row>
    <row r="14" spans="1:7" s="126" customFormat="1" ht="17.100000000000001" customHeight="1" x14ac:dyDescent="0.25">
      <c r="A14" s="133" t="s">
        <v>146</v>
      </c>
      <c r="B14" s="211">
        <f>IF($C$13=1,1,0)</f>
        <v>0</v>
      </c>
      <c r="C14" s="204"/>
      <c r="D14" s="207" t="s">
        <v>239</v>
      </c>
    </row>
    <row r="15" spans="1:7" s="126" customFormat="1" ht="17.100000000000001" customHeight="1" x14ac:dyDescent="0.25">
      <c r="A15" s="133" t="s">
        <v>147</v>
      </c>
      <c r="B15" s="211">
        <f>IF($C$13=2,2,0)</f>
        <v>0</v>
      </c>
      <c r="C15" s="204"/>
      <c r="D15" s="207" t="s">
        <v>240</v>
      </c>
    </row>
    <row r="16" spans="1:7" s="126" customFormat="1" ht="17.100000000000001" customHeight="1" x14ac:dyDescent="0.25">
      <c r="A16" s="133" t="s">
        <v>148</v>
      </c>
      <c r="B16" s="211">
        <f>IF($C$13=3,3,0)</f>
        <v>3</v>
      </c>
      <c r="C16" s="204"/>
      <c r="D16" s="207" t="s">
        <v>241</v>
      </c>
    </row>
    <row r="17" spans="1:4" s="126" customFormat="1" ht="17.100000000000001" customHeight="1" x14ac:dyDescent="0.25">
      <c r="A17" s="133" t="s">
        <v>196</v>
      </c>
      <c r="B17" s="211">
        <f>IF($C$13=4,4,0)</f>
        <v>0</v>
      </c>
      <c r="C17" s="204"/>
      <c r="D17" s="207" t="s">
        <v>242</v>
      </c>
    </row>
    <row r="18" spans="1:4" s="126" customFormat="1" ht="17.100000000000001" customHeight="1" x14ac:dyDescent="0.25">
      <c r="A18" s="133" t="s">
        <v>197</v>
      </c>
      <c r="B18" s="211">
        <f>IF($C$13=5,5,0)</f>
        <v>0</v>
      </c>
      <c r="C18" s="204"/>
      <c r="D18" s="207" t="s">
        <v>243</v>
      </c>
    </row>
    <row r="19" spans="1:4" s="126" customFormat="1" ht="14.25" x14ac:dyDescent="0.2"/>
    <row r="20" spans="1:4" s="126" customFormat="1" ht="14.25" x14ac:dyDescent="0.2"/>
    <row r="21" spans="1:4" s="126" customFormat="1" ht="14.25" x14ac:dyDescent="0.2"/>
    <row r="22" spans="1:4" s="126" customFormat="1" ht="14.25" x14ac:dyDescent="0.2"/>
    <row r="23" spans="1:4" s="126" customFormat="1" ht="14.25" x14ac:dyDescent="0.2"/>
    <row r="24" spans="1:4" s="126" customFormat="1" ht="14.25" x14ac:dyDescent="0.2"/>
    <row r="25" spans="1:4" s="126" customFormat="1" ht="14.25" x14ac:dyDescent="0.2"/>
    <row r="26" spans="1:4" s="126" customFormat="1" ht="14.25" x14ac:dyDescent="0.2"/>
    <row r="27" spans="1:4" s="126" customFormat="1" ht="14.25" x14ac:dyDescent="0.2"/>
  </sheetData>
  <sheetProtection password="CF09" sheet="1" objects="1" scenarios="1"/>
  <pageMargins left="0.70866141732283472" right="0.70866141732283472" top="0.74803149606299213" bottom="0.7480314960629921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1">
              <controlPr defaultSize="0" autoFill="0" autoLine="0" autoPict="0">
                <anchor moveWithCells="1">
                  <from>
                    <xdr:col>2</xdr:col>
                    <xdr:colOff>238125</xdr:colOff>
                    <xdr:row>13</xdr:row>
                    <xdr:rowOff>9525</xdr:rowOff>
                  </from>
                  <to>
                    <xdr:col>2</xdr:col>
                    <xdr:colOff>438150</xdr:colOff>
                    <xdr:row>13</xdr:row>
                    <xdr:rowOff>190500</xdr:rowOff>
                  </to>
                </anchor>
              </controlPr>
            </control>
          </mc:Choice>
        </mc:AlternateContent>
        <mc:AlternateContent xmlns:mc="http://schemas.openxmlformats.org/markup-compatibility/2006">
          <mc:Choice Requires="x14">
            <control shapeId="17410" r:id="rId5" name="Option Button 2">
              <controlPr defaultSize="0" autoFill="0" autoLine="0" autoPict="0">
                <anchor moveWithCells="1">
                  <from>
                    <xdr:col>2</xdr:col>
                    <xdr:colOff>238125</xdr:colOff>
                    <xdr:row>14</xdr:row>
                    <xdr:rowOff>9525</xdr:rowOff>
                  </from>
                  <to>
                    <xdr:col>2</xdr:col>
                    <xdr:colOff>438150</xdr:colOff>
                    <xdr:row>14</xdr:row>
                    <xdr:rowOff>190500</xdr:rowOff>
                  </to>
                </anchor>
              </controlPr>
            </control>
          </mc:Choice>
        </mc:AlternateContent>
        <mc:AlternateContent xmlns:mc="http://schemas.openxmlformats.org/markup-compatibility/2006">
          <mc:Choice Requires="x14">
            <control shapeId="17411" r:id="rId6" name="Option Button 3">
              <controlPr defaultSize="0" autoFill="0" autoLine="0" autoPict="0">
                <anchor moveWithCells="1">
                  <from>
                    <xdr:col>2</xdr:col>
                    <xdr:colOff>238125</xdr:colOff>
                    <xdr:row>15</xdr:row>
                    <xdr:rowOff>9525</xdr:rowOff>
                  </from>
                  <to>
                    <xdr:col>2</xdr:col>
                    <xdr:colOff>438150</xdr:colOff>
                    <xdr:row>15</xdr:row>
                    <xdr:rowOff>190500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2</xdr:col>
                    <xdr:colOff>238125</xdr:colOff>
                    <xdr:row>16</xdr:row>
                    <xdr:rowOff>19050</xdr:rowOff>
                  </from>
                  <to>
                    <xdr:col>2</xdr:col>
                    <xdr:colOff>438150</xdr:colOff>
                    <xdr:row>16</xdr:row>
                    <xdr:rowOff>190500</xdr:rowOff>
                  </to>
                </anchor>
              </controlPr>
            </control>
          </mc:Choice>
        </mc:AlternateContent>
        <mc:AlternateContent xmlns:mc="http://schemas.openxmlformats.org/markup-compatibility/2006">
          <mc:Choice Requires="x14">
            <control shapeId="17413" r:id="rId8" name="Group Box 5">
              <controlPr defaultSize="0" autoFill="0" autoPict="0">
                <anchor moveWithCells="1">
                  <from>
                    <xdr:col>1</xdr:col>
                    <xdr:colOff>0</xdr:colOff>
                    <xdr:row>12</xdr:row>
                    <xdr:rowOff>28575</xdr:rowOff>
                  </from>
                  <to>
                    <xdr:col>1</xdr:col>
                    <xdr:colOff>866775</xdr:colOff>
                    <xdr:row>18</xdr:row>
                    <xdr:rowOff>85725</xdr:rowOff>
                  </to>
                </anchor>
              </controlPr>
            </control>
          </mc:Choice>
        </mc:AlternateContent>
        <mc:AlternateContent xmlns:mc="http://schemas.openxmlformats.org/markup-compatibility/2006">
          <mc:Choice Requires="x14">
            <control shapeId="17414" r:id="rId9" name="Option Button 6">
              <controlPr defaultSize="0" autoFill="0" autoLine="0" autoPict="0">
                <anchor moveWithCells="1">
                  <from>
                    <xdr:col>2</xdr:col>
                    <xdr:colOff>238125</xdr:colOff>
                    <xdr:row>17</xdr:row>
                    <xdr:rowOff>19050</xdr:rowOff>
                  </from>
                  <to>
                    <xdr:col>2</xdr:col>
                    <xdr:colOff>438150</xdr:colOff>
                    <xdr:row>17</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45"/>
  <sheetViews>
    <sheetView showGridLines="0" zoomScale="90" zoomScaleNormal="90" workbookViewId="0">
      <selection activeCell="M9" sqref="M9"/>
    </sheetView>
  </sheetViews>
  <sheetFormatPr defaultColWidth="9.140625" defaultRowHeight="14.25" x14ac:dyDescent="0.2"/>
  <cols>
    <col min="1" max="1" width="9.140625" style="91"/>
    <col min="2" max="2" width="17.85546875" style="91" customWidth="1"/>
    <col min="3" max="8" width="15.7109375" style="91" customWidth="1"/>
    <col min="9" max="9" width="11.28515625" style="91" customWidth="1"/>
    <col min="10" max="11" width="9.140625" style="91"/>
    <col min="12" max="12" width="12.5703125" style="91" customWidth="1"/>
    <col min="13" max="13" width="10.7109375" style="91" bestFit="1" customWidth="1"/>
    <col min="14" max="16384" width="9.140625" style="91"/>
  </cols>
  <sheetData>
    <row r="2" spans="2:14" s="134" customFormat="1" ht="26.25" x14ac:dyDescent="0.4">
      <c r="B2" s="134" t="s">
        <v>144</v>
      </c>
      <c r="G2" s="134">
        <f>'Farm ID'!B3</f>
        <v>0</v>
      </c>
    </row>
    <row r="3" spans="2:14" ht="15.75" customHeight="1" x14ac:dyDescent="0.2"/>
    <row r="4" spans="2:14" s="92" customFormat="1" ht="15" x14ac:dyDescent="0.25">
      <c r="C4" s="100" t="s">
        <v>2</v>
      </c>
      <c r="D4" s="100" t="s">
        <v>17</v>
      </c>
      <c r="E4" s="100" t="s">
        <v>26</v>
      </c>
      <c r="H4" s="78"/>
      <c r="I4" s="78"/>
      <c r="J4" s="83"/>
      <c r="K4" s="83"/>
      <c r="M4" s="91"/>
    </row>
    <row r="5" spans="2:14" ht="15" x14ac:dyDescent="0.25">
      <c r="B5" s="169" t="s">
        <v>192</v>
      </c>
      <c r="C5" s="94">
        <f>'Sheep production'!B27</f>
        <v>0</v>
      </c>
      <c r="D5" s="102">
        <f>'Cattle production'!C27</f>
        <v>0</v>
      </c>
      <c r="E5" s="94">
        <f>C5+D5</f>
        <v>0</v>
      </c>
      <c r="F5" s="91" t="s">
        <v>97</v>
      </c>
      <c r="H5" s="79"/>
      <c r="I5" s="214"/>
      <c r="J5" s="214" t="s">
        <v>260</v>
      </c>
      <c r="K5" s="78"/>
      <c r="M5" s="170">
        <f>'Land &amp; Stocking'!C24</f>
        <v>0</v>
      </c>
      <c r="N5" s="207" t="s">
        <v>261</v>
      </c>
    </row>
    <row r="6" spans="2:14" x14ac:dyDescent="0.2">
      <c r="B6" s="169" t="s">
        <v>191</v>
      </c>
      <c r="C6" s="94">
        <f>IFERROR('Land &amp; Stocking'!D18,0)</f>
        <v>0</v>
      </c>
      <c r="D6" s="95">
        <f>IFERROR('Land &amp; Stocking'!D17,0)</f>
        <v>0</v>
      </c>
      <c r="E6" s="94">
        <f>C6+D6</f>
        <v>0</v>
      </c>
      <c r="F6" s="91" t="s">
        <v>70</v>
      </c>
      <c r="H6" s="79"/>
      <c r="I6" s="214"/>
      <c r="J6" s="214" t="s">
        <v>262</v>
      </c>
      <c r="K6" s="83"/>
      <c r="L6" s="127"/>
      <c r="M6" s="91">
        <f>'Land &amp; Stocking'!C25</f>
        <v>0</v>
      </c>
      <c r="N6" s="207" t="s">
        <v>70</v>
      </c>
    </row>
    <row r="7" spans="2:14" x14ac:dyDescent="0.2">
      <c r="B7" s="93"/>
      <c r="C7" s="94"/>
      <c r="D7" s="95"/>
      <c r="E7" s="94"/>
      <c r="H7" s="79"/>
      <c r="I7" s="79"/>
      <c r="J7" s="79"/>
      <c r="K7" s="83"/>
      <c r="L7" s="127"/>
    </row>
    <row r="8" spans="2:14" s="99" customFormat="1" ht="15" x14ac:dyDescent="0.25">
      <c r="B8" s="97" t="s">
        <v>25</v>
      </c>
      <c r="C8" s="98" t="str">
        <f>IFERROR(C5/C6,"0")</f>
        <v>0</v>
      </c>
      <c r="D8" s="98" t="str">
        <f>IFERROR(D5/D6,"0")</f>
        <v>0</v>
      </c>
      <c r="E8" s="98" t="str">
        <f>IFERROR(E5/E6,"0")</f>
        <v>0</v>
      </c>
      <c r="F8" s="99" t="s">
        <v>98</v>
      </c>
      <c r="G8" s="136"/>
      <c r="H8" s="78"/>
      <c r="I8" s="78"/>
      <c r="J8" s="78" t="s">
        <v>88</v>
      </c>
      <c r="K8" s="78"/>
      <c r="L8" s="127"/>
      <c r="M8" s="87">
        <f>IFERROR(M5/M6,0)</f>
        <v>0</v>
      </c>
      <c r="N8" s="78" t="s">
        <v>89</v>
      </c>
    </row>
    <row r="9" spans="2:14" ht="15" thickBot="1" x14ac:dyDescent="0.25">
      <c r="I9" s="126"/>
    </row>
    <row r="10" spans="2:14" x14ac:dyDescent="0.2">
      <c r="B10" s="156"/>
      <c r="C10" s="157"/>
      <c r="D10" s="157"/>
      <c r="E10" s="157"/>
      <c r="F10" s="157"/>
      <c r="G10" s="158"/>
    </row>
    <row r="11" spans="2:14" ht="15" x14ac:dyDescent="0.25">
      <c r="B11" s="165" t="s">
        <v>184</v>
      </c>
      <c r="C11" s="166" t="s">
        <v>193</v>
      </c>
      <c r="D11" s="166" t="s">
        <v>179</v>
      </c>
      <c r="E11" s="166" t="s">
        <v>180</v>
      </c>
      <c r="F11" s="166" t="s">
        <v>181</v>
      </c>
      <c r="G11" s="167" t="s">
        <v>181</v>
      </c>
    </row>
    <row r="12" spans="2:14" ht="15" x14ac:dyDescent="0.25">
      <c r="B12" s="165" t="s">
        <v>183</v>
      </c>
      <c r="C12" s="166" t="s">
        <v>194</v>
      </c>
      <c r="D12" s="166"/>
      <c r="E12" s="166"/>
      <c r="F12" s="166"/>
      <c r="G12" s="167" t="s">
        <v>182</v>
      </c>
    </row>
    <row r="13" spans="2:14" ht="15" thickBot="1" x14ac:dyDescent="0.25">
      <c r="B13" s="159"/>
      <c r="C13" s="155"/>
      <c r="D13" s="155"/>
      <c r="E13" s="155"/>
      <c r="F13" s="155"/>
      <c r="G13" s="160"/>
    </row>
    <row r="14" spans="2:14" s="161" customFormat="1" ht="20.25" x14ac:dyDescent="0.3">
      <c r="B14" s="162" t="s">
        <v>176</v>
      </c>
      <c r="C14" s="186" t="str">
        <f>IF(AND('Farm ID'!B14=1,Dashboard!E8&lt;100),E8,"")</f>
        <v/>
      </c>
      <c r="D14" s="186" t="str">
        <f>IF(AND('Farm ID'!$B$15=2,Dashboard!E8&lt;100),E8,"")</f>
        <v/>
      </c>
      <c r="E14" s="186" t="str">
        <f>IF(AND('Farm ID'!B16=3,Dashboard!E8&lt;100),E8,"")</f>
        <v/>
      </c>
      <c r="F14" s="186" t="str">
        <f>IF(AND('Farm ID'!$B$17=4,Dashboard!E8&lt;100),E8,"")</f>
        <v/>
      </c>
      <c r="G14" s="187" t="str">
        <f>IF(AND('Farm ID'!B18=5,Dashboard!E8&lt;100),E8,"")</f>
        <v/>
      </c>
    </row>
    <row r="15" spans="2:14" s="161" customFormat="1" ht="20.25" x14ac:dyDescent="0.3">
      <c r="B15" s="163" t="s">
        <v>195</v>
      </c>
      <c r="C15" s="172" t="str">
        <f>IF(AND('Farm ID'!$B$14=1,AND(Dashboard!$E$8&gt;=100,Dashboard!$E$8&lt;200)),$E$8,"")</f>
        <v/>
      </c>
      <c r="D15" s="188" t="str">
        <f>IF(AND('Farm ID'!$B$15=2,AND(Dashboard!$E$8&gt;=100,Dashboard!$E$8&lt;200)),$E$8,"")</f>
        <v/>
      </c>
      <c r="E15" s="188" t="str">
        <f>IF(AND('Farm ID'!$B$16=3,AND(Dashboard!$E$8&gt;=100,Dashboard!$E$8&lt;200)),$E$8,"")</f>
        <v/>
      </c>
      <c r="F15" s="188" t="str">
        <f>IF(AND('Farm ID'!$B$17=4,AND(Dashboard!$E$8&gt;=100,Dashboard!$E$8&lt;200)),$E$8,"")</f>
        <v/>
      </c>
      <c r="G15" s="189" t="str">
        <f>IF(AND('Farm ID'!$B$18=5,AND(Dashboard!$E$8&gt;=100,Dashboard!$E$8&lt;200)),$E$8,"")</f>
        <v/>
      </c>
    </row>
    <row r="16" spans="2:14" s="161" customFormat="1" ht="20.25" x14ac:dyDescent="0.3">
      <c r="B16" s="168" t="s">
        <v>186</v>
      </c>
      <c r="C16" s="172" t="str">
        <f>IF(AND('Farm ID'!$B$14=1,AND(Dashboard!$E$8&gt;=200,Dashboard!$E$8&lt;300)),$E$8,"")</f>
        <v/>
      </c>
      <c r="D16" s="172" t="str">
        <f>IF(AND('Farm ID'!$B$15=2,AND(Dashboard!$E$8&gt;=200,Dashboard!$E$8&lt;300)),$E$8,"")</f>
        <v/>
      </c>
      <c r="E16" s="188" t="str">
        <f>IF(AND('Farm ID'!$B$16=3,AND(Dashboard!$E$8&gt;=200,Dashboard!$E$8&lt;300)),$E$8,"")</f>
        <v/>
      </c>
      <c r="F16" s="188" t="str">
        <f>IF(AND('Farm ID'!$B$17=4,AND(Dashboard!$E$8&gt;=200,Dashboard!$E$8&lt;300)),$E$8,"")</f>
        <v/>
      </c>
      <c r="G16" s="189" t="str">
        <f>IF(AND('Farm ID'!$B$18=5,AND(Dashboard!$E$8&gt;=200,Dashboard!$E$8&lt;300)),$E$8,"")</f>
        <v/>
      </c>
    </row>
    <row r="17" spans="2:9" s="161" customFormat="1" ht="20.25" x14ac:dyDescent="0.3">
      <c r="B17" s="168" t="s">
        <v>187</v>
      </c>
      <c r="C17" s="190" t="str">
        <f>IF(AND('Farm ID'!$B$14=1,AND(Dashboard!$E$8&gt;=300,Dashboard!$E$8&lt;400)),$E$8,"")</f>
        <v/>
      </c>
      <c r="D17" s="172" t="str">
        <f>IF(AND('Farm ID'!$B$15=2,AND(Dashboard!$E$8&gt;=300,Dashboard!$E$8&lt;400)),$E$8,"")</f>
        <v/>
      </c>
      <c r="E17" s="172" t="str">
        <f>IF(AND('Farm ID'!$B$16=3,AND(Dashboard!$E$8&gt;=300,Dashboard!$E$8&lt;400)),$E$8,"")</f>
        <v/>
      </c>
      <c r="F17" s="188" t="str">
        <f>IF(AND('Farm ID'!$B$17=4,AND(Dashboard!$E$8&gt;=300,Dashboard!$E$8&lt;400)),$E$8,"")</f>
        <v/>
      </c>
      <c r="G17" s="189" t="str">
        <f>IF(AND('Farm ID'!$B$18=5,AND(Dashboard!$E$8&gt;=300,Dashboard!$E$8&lt;400)),$E$8,"")</f>
        <v/>
      </c>
    </row>
    <row r="18" spans="2:9" s="161" customFormat="1" ht="20.25" x14ac:dyDescent="0.3">
      <c r="B18" s="163" t="s">
        <v>185</v>
      </c>
      <c r="C18" s="190" t="str">
        <f>IF(AND('Farm ID'!$B$14=1,AND(Dashboard!$E$8&gt;=400,Dashboard!$E$8&lt;500)),$E$8,"")</f>
        <v/>
      </c>
      <c r="D18" s="190" t="str">
        <f>IF(AND('Farm ID'!$B$15=2,AND(Dashboard!$E$8&gt;=400,Dashboard!$E$8&lt;500)),$E$8,"")</f>
        <v/>
      </c>
      <c r="E18" s="172" t="str">
        <f>IF(AND('Farm ID'!$B$16=3,AND(Dashboard!$E$8&gt;=400,Dashboard!$E$8&lt;500)),$E$8,"")</f>
        <v/>
      </c>
      <c r="F18" s="173" t="str">
        <f>IFERROR(IF(AND('Farm ID'!$B$17=4,AND('Land &amp; Stocking'!$C$26&gt;=1,'Land &amp; Stocking'!$C$26&lt;1.25)),'Land &amp; Stocking'!$C$26,""),0)</f>
        <v/>
      </c>
      <c r="G18" s="189" t="str">
        <f>IF(AND('Farm ID'!$B$18=5,AND(Dashboard!$E$8&gt;=400,Dashboard!$E$8&lt;500)),$E$8,"")</f>
        <v/>
      </c>
    </row>
    <row r="19" spans="2:9" s="161" customFormat="1" ht="20.25" x14ac:dyDescent="0.3">
      <c r="B19" s="163" t="s">
        <v>188</v>
      </c>
      <c r="C19" s="191" t="str">
        <f>IF(AND('Farm ID'!$B$14=1,AND(Dashboard!$E$8&gt;=500,Dashboard!$E$8&lt;600)),$E$8,"")</f>
        <v/>
      </c>
      <c r="D19" s="190" t="str">
        <f>IF(AND('Farm ID'!$B$15=2,AND(Dashboard!$E$8&gt;=500,Dashboard!$E$8&lt;600)),$E$8,"")</f>
        <v/>
      </c>
      <c r="E19" s="190" t="str">
        <f>IF(AND('Farm ID'!$B$16=3,AND(Dashboard!$E$8&gt;=500,Dashboard!$E$8&lt;600)),$E$8,"")</f>
        <v/>
      </c>
      <c r="F19" s="173" t="str">
        <f>IFERROR(IF(AND('Farm ID'!$B$17=4,AND('Land &amp; Stocking'!$C$26&gt;=1.25,'Land &amp; Stocking'!$C$26&lt;1.5)),'Land &amp; Stocking'!$C$26,""),0)</f>
        <v/>
      </c>
      <c r="G19" s="189" t="str">
        <f>IF(AND('Farm ID'!$B$18=5,AND(Dashboard!$E$8&gt;=500,Dashboard!$E$8&lt;600)),$E$8,"")</f>
        <v/>
      </c>
    </row>
    <row r="20" spans="2:9" s="161" customFormat="1" ht="20.25" x14ac:dyDescent="0.3">
      <c r="B20" s="163" t="s">
        <v>189</v>
      </c>
      <c r="C20" s="191" t="str">
        <f>IF(AND('Farm ID'!$B$14=1,AND(Dashboard!$E$8&gt;=600,Dashboard!$E$8&lt;700)),$E$8,"")</f>
        <v/>
      </c>
      <c r="D20" s="191" t="str">
        <f>IF(AND('Farm ID'!$B$15=2,AND(Dashboard!$E$8&gt;=600,Dashboard!$E$8&lt;700)),$E$8,"")</f>
        <v/>
      </c>
      <c r="E20" s="190" t="str">
        <f>IF(AND('Farm ID'!$B$16=3,AND(Dashboard!$E$8&gt;=600,Dashboard!$E$8&lt;700)),$E$8,"")</f>
        <v/>
      </c>
      <c r="F20" s="199" t="str">
        <f>IFERROR(IF(AND('Farm ID'!$B$17=4,AND('Land &amp; Stocking'!$C$26&gt;=1.5,'Land &amp; Stocking'!$C$26&lt;1.75)),'Land &amp; Stocking'!$C$26,""),0)</f>
        <v/>
      </c>
      <c r="G20" s="192" t="str">
        <f>IF(AND('Farm ID'!$B$18=5,AND(Dashboard!$E$8&gt;=600,Dashboard!$E$8&lt;700)),$E$8,"")</f>
        <v/>
      </c>
    </row>
    <row r="21" spans="2:9" s="161" customFormat="1" ht="20.25" x14ac:dyDescent="0.3">
      <c r="B21" s="163" t="s">
        <v>190</v>
      </c>
      <c r="C21" s="191" t="str">
        <f>IF(AND('Farm ID'!$B$14=1,AND(Dashboard!$E$8&gt;=700,Dashboard!$E$8&lt;800)),$E$8,"")</f>
        <v/>
      </c>
      <c r="D21" s="191" t="str">
        <f>IF(AND('Farm ID'!$B$15=2,AND(Dashboard!$E$8&gt;=700,Dashboard!$E$8&lt;800)),$E$8,"")</f>
        <v/>
      </c>
      <c r="E21" s="191" t="str">
        <f>IF(AND('Farm ID'!$B$16=3,AND(Dashboard!$E$8&gt;=700,Dashboard!$E$8&lt;800)),$E$8,"")</f>
        <v/>
      </c>
      <c r="F21" s="199" t="str">
        <f>IFERROR(IFERROR(IF(AND('Farm ID'!$B$17=4,AND('Land &amp; Stocking'!$C$26&gt;=1.75,'Land &amp; Stocking'!$C$26&lt;2)),'Land &amp; Stocking'!$C$26,""),0),0)</f>
        <v/>
      </c>
      <c r="G21" s="192" t="str">
        <f>IF(AND('Farm ID'!$B$18=5,AND(Dashboard!$E$8&gt;=700,Dashboard!$E$8&lt;800)),$E$8,"")</f>
        <v/>
      </c>
    </row>
    <row r="22" spans="2:9" s="161" customFormat="1" ht="20.25" x14ac:dyDescent="0.3">
      <c r="B22" s="163" t="s">
        <v>177</v>
      </c>
      <c r="C22" s="191" t="str">
        <f>IF(AND('Farm ID'!$B$14=1,AND(Dashboard!$E$8&gt;=800,Dashboard!$E$8&lt;1000)),$E$8,"")</f>
        <v/>
      </c>
      <c r="D22" s="191" t="str">
        <f>IF(AND('Farm ID'!$B$15=2,AND(Dashboard!$E$8&gt;=800,Dashboard!$E$8&lt;1000)),$E$8,"")</f>
        <v/>
      </c>
      <c r="E22" s="191" t="str">
        <f>IF(AND('Farm ID'!$B$16=3,AND(Dashboard!$E$8&gt;=800,Dashboard!$E$8&lt;1000)),$E$8,"")</f>
        <v/>
      </c>
      <c r="F22" s="200" t="str">
        <f>IFERROR(IF(AND('Farm ID'!$B$17=4,AND('Land &amp; Stocking'!$C$26&gt;=2,'Land &amp; Stocking'!$C$26&lt;2.25)),'Land &amp; Stocking'!$C$26,""),0)</f>
        <v/>
      </c>
      <c r="G22" s="192" t="str">
        <f>IF(AND('Farm ID'!$B$18=5,AND(Dashboard!$E$8&gt;=800,Dashboard!$E$8&lt;1000)),$E$8,"")</f>
        <v/>
      </c>
    </row>
    <row r="23" spans="2:9" s="161" customFormat="1" ht="21" thickBot="1" x14ac:dyDescent="0.35">
      <c r="B23" s="164" t="s">
        <v>178</v>
      </c>
      <c r="C23" s="193" t="str">
        <f>IF(AND('Farm ID'!B14=1,E8&gt;1000),E8,"")</f>
        <v/>
      </c>
      <c r="D23" s="193" t="str">
        <f>IF(AND('Farm ID'!B15=2,E8&gt;1000),E8,"")</f>
        <v/>
      </c>
      <c r="E23" s="193" t="str">
        <f>IF(AND('Farm ID'!B16=3,Dashboard!E8&gt;1000),E8,"")</f>
        <v>0</v>
      </c>
      <c r="F23" s="202" t="str">
        <f>IFERROR(IF(AND('Farm ID'!$B$17=4,'Land &amp; Stocking'!$C$26&gt;=2.25),'Land &amp; Stocking'!$C$26,""),0)</f>
        <v/>
      </c>
      <c r="G23" s="194" t="str">
        <f>IF(AND('Farm ID'!B18=5,E8&gt;1000),E8,"")</f>
        <v/>
      </c>
    </row>
    <row r="24" spans="2:9" s="161" customFormat="1" ht="20.25" x14ac:dyDescent="0.3">
      <c r="B24" s="208"/>
      <c r="C24" s="208"/>
      <c r="D24" s="208"/>
      <c r="E24" s="208"/>
      <c r="F24" s="208"/>
      <c r="G24" s="208"/>
    </row>
    <row r="25" spans="2:9" s="161" customFormat="1" ht="20.25" x14ac:dyDescent="0.3">
      <c r="C25" s="208"/>
      <c r="D25" s="208"/>
      <c r="E25" s="208"/>
      <c r="F25" s="208"/>
      <c r="G25" s="208"/>
    </row>
    <row r="26" spans="2:9" s="161" customFormat="1" ht="20.25" x14ac:dyDescent="0.3">
      <c r="B26" s="209" t="s">
        <v>246</v>
      </c>
      <c r="D26" s="208"/>
      <c r="E26" s="208"/>
      <c r="F26" s="208"/>
      <c r="G26" s="208"/>
    </row>
    <row r="27" spans="2:9" ht="15" hidden="1" thickBot="1" x14ac:dyDescent="0.25"/>
    <row r="28" spans="2:9" ht="15" hidden="1" x14ac:dyDescent="0.25">
      <c r="B28" s="156"/>
      <c r="C28" s="157"/>
      <c r="D28" s="157"/>
      <c r="E28" s="157"/>
      <c r="F28" s="157"/>
      <c r="G28" s="158"/>
      <c r="H28" s="87"/>
      <c r="I28" s="78"/>
    </row>
    <row r="29" spans="2:9" ht="15" hidden="1" x14ac:dyDescent="0.25">
      <c r="B29" s="165" t="s">
        <v>198</v>
      </c>
      <c r="C29" s="166" t="s">
        <v>193</v>
      </c>
      <c r="D29" s="166" t="s">
        <v>179</v>
      </c>
      <c r="E29" s="166" t="s">
        <v>180</v>
      </c>
      <c r="F29" s="166" t="s">
        <v>181</v>
      </c>
      <c r="G29" s="167" t="s">
        <v>181</v>
      </c>
    </row>
    <row r="30" spans="2:9" ht="15" hidden="1" x14ac:dyDescent="0.25">
      <c r="B30" s="165" t="s">
        <v>145</v>
      </c>
      <c r="C30" s="166" t="s">
        <v>194</v>
      </c>
      <c r="D30" s="166"/>
      <c r="E30" s="166"/>
      <c r="F30" s="166"/>
      <c r="G30" s="167" t="s">
        <v>182</v>
      </c>
      <c r="H30" s="136"/>
      <c r="I30" s="127"/>
    </row>
    <row r="31" spans="2:9" ht="15" hidden="1" thickBot="1" x14ac:dyDescent="0.25">
      <c r="B31" s="159"/>
      <c r="C31" s="155"/>
      <c r="D31" s="155"/>
      <c r="E31" s="155"/>
      <c r="F31" s="155"/>
      <c r="G31" s="160"/>
      <c r="H31" s="136"/>
      <c r="I31" s="127"/>
    </row>
    <row r="32" spans="2:9" ht="20.25" hidden="1" x14ac:dyDescent="0.3">
      <c r="B32" s="162" t="s">
        <v>199</v>
      </c>
      <c r="C32" s="195" t="str">
        <f>IF(AND('Farm ID'!$B$14=1,'Land &amp; Stocking'!$C$26&lt;0.25),'Land &amp; Stocking'!$C$26,"")</f>
        <v/>
      </c>
      <c r="D32" s="195" t="str">
        <f>IF(AND('Farm ID'!$B$15=2,'Land &amp; Stocking'!$C$26&lt;0.25),'Land &amp; Stocking'!$C$26,"")</f>
        <v/>
      </c>
      <c r="E32" s="195">
        <f>IF(AND('Farm ID'!$B$16=3,'Land &amp; Stocking'!$C$26&lt;0.25),'Land &amp; Stocking'!$C$26,"")</f>
        <v>0</v>
      </c>
      <c r="F32" s="195" t="str">
        <f>IF(AND('Farm ID'!$B$17=4,'Land &amp; Stocking'!$C$26&lt;0.25),'Land &amp; Stocking'!$C$26,"")</f>
        <v/>
      </c>
      <c r="G32" s="196" t="str">
        <f>IF(AND('Farm ID'!$B$18=5,'Land &amp; Stocking'!$C$26&lt;0.25),'Land &amp; Stocking'!$C$26,"")</f>
        <v/>
      </c>
      <c r="H32" s="136"/>
      <c r="I32" s="127"/>
    </row>
    <row r="33" spans="2:7" ht="20.25" hidden="1" x14ac:dyDescent="0.3">
      <c r="B33" s="163" t="s">
        <v>200</v>
      </c>
      <c r="C33" s="173" t="str">
        <f>IF(AND('Farm ID'!$B$14=1,AND('Land &amp; Stocking'!$C$26&gt;=0.25,'Land &amp; Stocking'!$C$26&lt;0.5)),'Land &amp; Stocking'!$C$26,"")</f>
        <v/>
      </c>
      <c r="D33" s="197" t="str">
        <f>IF(AND('Farm ID'!$B$15=2,AND('Land &amp; Stocking'!$C$26&gt;=0.25,'Land &amp; Stocking'!$C$26&lt;0.5)),'Land &amp; Stocking'!$C$26,"")</f>
        <v/>
      </c>
      <c r="E33" s="197" t="str">
        <f>IF(AND('Farm ID'!$B$16=3,AND('Land &amp; Stocking'!$C$26&gt;=0.25,'Land &amp; Stocking'!$C$26&lt;0.5)),'Land &amp; Stocking'!$C$26,"")</f>
        <v/>
      </c>
      <c r="F33" s="197" t="str">
        <f>IF(AND('Farm ID'!$B$17=4,AND('Land &amp; Stocking'!$C$26&gt;=0.25,'Land &amp; Stocking'!$C$26&lt;0.5)),'Land &amp; Stocking'!$C$26,"")</f>
        <v/>
      </c>
      <c r="G33" s="198" t="str">
        <f>IF(AND('Farm ID'!$B$18=5,AND('Land &amp; Stocking'!$C$26&gt;=0.25,'Land &amp; Stocking'!$C$26&lt;0.5)),'Land &amp; Stocking'!$C$26,"")</f>
        <v/>
      </c>
    </row>
    <row r="34" spans="2:7" ht="20.25" hidden="1" x14ac:dyDescent="0.3">
      <c r="B34" s="168" t="s">
        <v>201</v>
      </c>
      <c r="C34" s="173" t="str">
        <f>IF(AND('Farm ID'!$B$14=1,AND('Land &amp; Stocking'!$C$26&gt;=0.5,'Land &amp; Stocking'!$C$26&lt;0.75)),'Land &amp; Stocking'!$C$26,"")</f>
        <v/>
      </c>
      <c r="D34" s="173" t="str">
        <f>IF(AND('Farm ID'!$B$15=2,AND('Land &amp; Stocking'!$C$26&gt;=0.5,'Land &amp; Stocking'!$C$26&lt;0.75)),'Land &amp; Stocking'!$C$26,"")</f>
        <v/>
      </c>
      <c r="E34" s="197" t="str">
        <f>IF(AND('Farm ID'!$B$16=3,AND('Land &amp; Stocking'!$C$26&gt;=0.5,'Land &amp; Stocking'!$C$26&lt;0.75)),'Land &amp; Stocking'!$C$26,"")</f>
        <v/>
      </c>
      <c r="F34" s="197" t="str">
        <f>IF(AND('Farm ID'!$B$17=4,AND('Land &amp; Stocking'!$C$26&gt;=0.5,'Land &amp; Stocking'!$C$26&lt;0.75)),'Land &amp; Stocking'!$C$26,"")</f>
        <v/>
      </c>
      <c r="G34" s="198" t="str">
        <f>IF(AND('Farm ID'!$B$18=5,AND('Land &amp; Stocking'!$C$26&gt;=0.5,'Land &amp; Stocking'!$C$26&lt;0.75)),'Land &amp; Stocking'!$C$26,"")</f>
        <v/>
      </c>
    </row>
    <row r="35" spans="2:7" ht="20.25" hidden="1" x14ac:dyDescent="0.3">
      <c r="B35" s="168" t="s">
        <v>202</v>
      </c>
      <c r="C35" s="199" t="str">
        <f>IF(AND('Farm ID'!$B$14=1,AND('Land &amp; Stocking'!$C$26&gt;=0.75,'Land &amp; Stocking'!$C$26&lt;1)),'Land &amp; Stocking'!$C$26,"")</f>
        <v/>
      </c>
      <c r="D35" s="173" t="str">
        <f>IF(AND('Farm ID'!$B$15=2,AND('Land &amp; Stocking'!$C$26&gt;=0.75,'Land &amp; Stocking'!$C$26&lt;1)),'Land &amp; Stocking'!$C$26,"")</f>
        <v/>
      </c>
      <c r="E35" s="173" t="str">
        <f>IF(AND('Farm ID'!$B$16=3,AND('Land &amp; Stocking'!$C$26&gt;=0.75,'Land &amp; Stocking'!$C$26&lt;1)),'Land &amp; Stocking'!$C$26,"")</f>
        <v/>
      </c>
      <c r="F35" s="197" t="str">
        <f>IF(AND('Farm ID'!$B$17=4,AND('Land &amp; Stocking'!$C$26&gt;=0.75,'Land &amp; Stocking'!$C$26&lt;1)),'Land &amp; Stocking'!$C$26,"")</f>
        <v/>
      </c>
      <c r="G35" s="198" t="str">
        <f>IF(AND('Farm ID'!$B$18=5,AND('Land &amp; Stocking'!$C$26&gt;=0.75,'Land &amp; Stocking'!$C$26&lt;1)),'Land &amp; Stocking'!$C$26,"")</f>
        <v/>
      </c>
    </row>
    <row r="36" spans="2:7" ht="20.25" hidden="1" x14ac:dyDescent="0.3">
      <c r="B36" s="163" t="s">
        <v>203</v>
      </c>
      <c r="C36" s="199" t="str">
        <f>IF(AND('Farm ID'!$B$14=1,AND('Land &amp; Stocking'!$C$26&gt;=1,'Land &amp; Stocking'!$C$26&lt;1.25)),'Land &amp; Stocking'!$C$26,"")</f>
        <v/>
      </c>
      <c r="D36" s="199" t="str">
        <f>IF(AND('Farm ID'!$B$15=2,AND('Land &amp; Stocking'!$C$26&gt;=1,'Land &amp; Stocking'!$C$26&lt;1.25)),'Land &amp; Stocking'!$C$26,"")</f>
        <v/>
      </c>
      <c r="E36" s="173" t="str">
        <f>IF(AND('Farm ID'!$B$16=3,AND('Land &amp; Stocking'!$C$26&gt;=1,'Land &amp; Stocking'!$C$26&lt;1.25)),'Land &amp; Stocking'!$C$26,"")</f>
        <v/>
      </c>
      <c r="F36" s="173" t="str">
        <f>IF(AND('Farm ID'!$B$17=4,AND('Land &amp; Stocking'!$C$26&gt;=1,'Land &amp; Stocking'!$C$26&lt;1.25)),'Land &amp; Stocking'!$C$26,"")</f>
        <v/>
      </c>
      <c r="G36" s="198" t="str">
        <f>IF(AND('Farm ID'!$B$18=5,AND('Land &amp; Stocking'!$C$26&gt;=1,'Land &amp; Stocking'!$C$26&lt;1.25)),'Land &amp; Stocking'!$C$26,"")</f>
        <v/>
      </c>
    </row>
    <row r="37" spans="2:7" ht="20.25" hidden="1" x14ac:dyDescent="0.3">
      <c r="B37" s="163" t="s">
        <v>204</v>
      </c>
      <c r="C37" s="200" t="str">
        <f>IF(AND('Farm ID'!$B$14=1,AND('Land &amp; Stocking'!$C$26&gt;=1.25,'Land &amp; Stocking'!$C$26&lt;1.5)),'Land &amp; Stocking'!$C$26,"")</f>
        <v/>
      </c>
      <c r="D37" s="199" t="str">
        <f>IF(AND('Farm ID'!$B$15=2,AND('Land &amp; Stocking'!$C$26&gt;=1.25,'Land &amp; Stocking'!$C$26&lt;1.5)),'Land &amp; Stocking'!$C$26,"")</f>
        <v/>
      </c>
      <c r="E37" s="199" t="str">
        <f>IF(AND('Farm ID'!$B$16=3,AND('Land &amp; Stocking'!$C$26&gt;=1.25,'Land &amp; Stocking'!$C$26&lt;1.5)),'Land &amp; Stocking'!$C$26,"")</f>
        <v/>
      </c>
      <c r="F37" s="173" t="str">
        <f>IF(AND('Farm ID'!$B$17=4,AND('Land &amp; Stocking'!$C$26&gt;=1.25,'Land &amp; Stocking'!$C$26&lt;1.5)),'Land &amp; Stocking'!$C$26,"")</f>
        <v/>
      </c>
      <c r="G37" s="198" t="str">
        <f>IF(AND('Farm ID'!$B$18=5,AND('Land &amp; Stocking'!$C$26&gt;=1.25,'Land &amp; Stocking'!$C$26&lt;1.5)),'Land &amp; Stocking'!$C$26,"")</f>
        <v/>
      </c>
    </row>
    <row r="38" spans="2:7" ht="20.25" hidden="1" x14ac:dyDescent="0.3">
      <c r="B38" s="163" t="s">
        <v>205</v>
      </c>
      <c r="C38" s="200" t="str">
        <f>IF(AND('Farm ID'!$B$14=1,AND('Land &amp; Stocking'!$C$26&gt;=1.5,'Land &amp; Stocking'!$C$26&lt;1.75)),'Land &amp; Stocking'!$C$26,"")</f>
        <v/>
      </c>
      <c r="D38" s="200" t="str">
        <f>IF(AND('Farm ID'!$B$15=2,AND('Land &amp; Stocking'!$C$26&gt;=1.5,'Land &amp; Stocking'!$C$26&lt;1.75)),'Land &amp; Stocking'!$C$26,"")</f>
        <v/>
      </c>
      <c r="E38" s="199" t="str">
        <f>IF(AND('Farm ID'!$B$16=3,AND('Land &amp; Stocking'!$C$26&gt;=1.5,'Land &amp; Stocking'!$C$26&lt;1.75)),'Land &amp; Stocking'!$C$26,"")</f>
        <v/>
      </c>
      <c r="F38" s="199" t="str">
        <f>IF(AND('Farm ID'!$B$17=4,AND('Land &amp; Stocking'!$C$26&gt;=1.5,'Land &amp; Stocking'!$C$26&lt;1.75)),'Land &amp; Stocking'!$C$26,"")</f>
        <v/>
      </c>
      <c r="G38" s="201" t="str">
        <f>IF(AND('Farm ID'!$B$18=5,AND('Land &amp; Stocking'!$C$26&gt;=1.5,'Land &amp; Stocking'!$C$26&lt;1.75)),'Land &amp; Stocking'!$C$26,"")</f>
        <v/>
      </c>
    </row>
    <row r="39" spans="2:7" ht="20.25" hidden="1" x14ac:dyDescent="0.3">
      <c r="B39" s="163" t="s">
        <v>206</v>
      </c>
      <c r="C39" s="200" t="str">
        <f>IF(AND('Farm ID'!$B$14=1,AND('Land &amp; Stocking'!$C$26&gt;=1.75,'Land &amp; Stocking'!$C$26&lt;2)),'Land &amp; Stocking'!$C$26,"")</f>
        <v/>
      </c>
      <c r="D39" s="200" t="str">
        <f>IF(AND('Farm ID'!$B$15=2,AND('Land &amp; Stocking'!$C$26&gt;=1.75,'Land &amp; Stocking'!$C$26&lt;2)),'Land &amp; Stocking'!$C$26,"")</f>
        <v/>
      </c>
      <c r="E39" s="200" t="str">
        <f>IF(AND('Farm ID'!$B$16=3,AND('Land &amp; Stocking'!$C$26&gt;=1.75,'Land &amp; Stocking'!$C$26&lt;2)),'Land &amp; Stocking'!$C$26,"")</f>
        <v/>
      </c>
      <c r="F39" s="199" t="str">
        <f>IF(AND('Farm ID'!$B$17=4,AND('Land &amp; Stocking'!$C$26&gt;=1.75,'Land &amp; Stocking'!$C$26&lt;2)),'Land &amp; Stocking'!$C$26,"")</f>
        <v/>
      </c>
      <c r="G39" s="201" t="str">
        <f>IF(AND('Farm ID'!$B$18=5,AND('Land &amp; Stocking'!$C$26&gt;=1.75,'Land &amp; Stocking'!$C$26&lt;2)),'Land &amp; Stocking'!$C$26,"")</f>
        <v/>
      </c>
    </row>
    <row r="40" spans="2:7" ht="20.25" hidden="1" x14ac:dyDescent="0.3">
      <c r="B40" s="163" t="s">
        <v>207</v>
      </c>
      <c r="C40" s="200" t="str">
        <f>IF(AND('Farm ID'!$B$14=1,AND('Land &amp; Stocking'!$C$26&gt;=2,'Land &amp; Stocking'!$C$26&lt;2.25)),'Land &amp; Stocking'!$C$26,"")</f>
        <v/>
      </c>
      <c r="D40" s="200" t="str">
        <f>IF(AND('Farm ID'!$B$15=2,AND('Land &amp; Stocking'!$C$26&gt;=2,'Land &amp; Stocking'!$C$26&lt;2.25)),'Land &amp; Stocking'!$C$26,"")</f>
        <v/>
      </c>
      <c r="E40" s="200" t="str">
        <f>IF(AND('Farm ID'!$B$16=3,AND('Land &amp; Stocking'!$C$26&gt;=2,'Land &amp; Stocking'!$C$26&lt;2.25)),'Land &amp; Stocking'!$C$26,"")</f>
        <v/>
      </c>
      <c r="F40" s="200" t="str">
        <f>IF(AND('Farm ID'!$B$17=4,AND('Land &amp; Stocking'!$C$26&gt;=2,'Land &amp; Stocking'!$C$26&lt;2.25)),'Land &amp; Stocking'!$C$26,"")</f>
        <v/>
      </c>
      <c r="G40" s="201" t="str">
        <f>IF(AND('Farm ID'!$B$18=5,AND('Land &amp; Stocking'!$C$26&gt;=2,'Land &amp; Stocking'!$C$26&lt;2.25)),'Land &amp; Stocking'!$C$26,"")</f>
        <v/>
      </c>
    </row>
    <row r="41" spans="2:7" ht="21" hidden="1" thickBot="1" x14ac:dyDescent="0.35">
      <c r="B41" s="164" t="s">
        <v>208</v>
      </c>
      <c r="C41" s="202" t="str">
        <f>IF(AND('Farm ID'!$B$14=1,'Land &amp; Stocking'!$C$26&gt;=2.25),'Land &amp; Stocking'!$C$26,"")</f>
        <v/>
      </c>
      <c r="D41" s="202" t="str">
        <f>IF(AND('Farm ID'!$B$15=2,'Land &amp; Stocking'!$C$26&gt;=2.25),'Land &amp; Stocking'!$C$26,"")</f>
        <v/>
      </c>
      <c r="E41" s="202" t="str">
        <f>IF(AND('Farm ID'!$B$16=3,'Land &amp; Stocking'!$C$26&gt;=2.25),'Land &amp; Stocking'!$C$26,"")</f>
        <v/>
      </c>
      <c r="F41" s="202" t="str">
        <f>IF(AND('Farm ID'!$B$17=4,'Land &amp; Stocking'!$C$26&gt;=2.25),'Land &amp; Stocking'!$C$26,"")</f>
        <v/>
      </c>
      <c r="G41" s="203" t="str">
        <f>IF(AND('Farm ID'!$B$18=5,'Land &amp; Stocking'!$C$26&gt;=2.25),'Land &amp; Stocking'!$C$26,"")</f>
        <v/>
      </c>
    </row>
    <row r="42" spans="2:7" ht="20.25" x14ac:dyDescent="0.3">
      <c r="B42" s="209" t="s">
        <v>247</v>
      </c>
      <c r="C42" s="208"/>
      <c r="D42" s="208"/>
      <c r="E42" s="208"/>
      <c r="F42" s="208"/>
      <c r="G42" s="208"/>
    </row>
    <row r="43" spans="2:7" ht="20.25" x14ac:dyDescent="0.3">
      <c r="B43" s="209"/>
      <c r="C43" s="208"/>
      <c r="D43" s="208"/>
      <c r="E43" s="208"/>
      <c r="F43" s="208"/>
      <c r="G43" s="208"/>
    </row>
    <row r="44" spans="2:7" s="161" customFormat="1" ht="20.25" x14ac:dyDescent="0.3">
      <c r="B44" s="210" t="s">
        <v>263</v>
      </c>
    </row>
    <row r="45" spans="2:7" s="161" customFormat="1" ht="20.25" x14ac:dyDescent="0.3">
      <c r="B45" s="161" t="s">
        <v>248</v>
      </c>
    </row>
  </sheetData>
  <sheetProtection password="CF09" sheet="1" objects="1" scenarios="1"/>
  <pageMargins left="0.70866141732283472" right="0.70866141732283472" top="0.74803149606299213" bottom="0.74803149606299213" header="0.31496062992125984" footer="0.31496062992125984"/>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4"/>
  <sheetViews>
    <sheetView workbookViewId="0">
      <selection activeCell="G36" sqref="G36"/>
    </sheetView>
  </sheetViews>
  <sheetFormatPr defaultColWidth="9.140625" defaultRowHeight="14.25" x14ac:dyDescent="0.2"/>
  <cols>
    <col min="1" max="1" width="4.7109375" style="175" customWidth="1"/>
    <col min="2" max="2" width="4.140625" style="175" customWidth="1"/>
    <col min="3" max="3" width="60.7109375" style="175" customWidth="1"/>
    <col min="4" max="4" width="69.7109375" style="175" customWidth="1"/>
    <col min="5" max="16384" width="9.140625" style="175"/>
  </cols>
  <sheetData>
    <row r="1" spans="2:4" s="174" customFormat="1" ht="27.75" x14ac:dyDescent="0.4">
      <c r="C1" s="174" t="s">
        <v>218</v>
      </c>
    </row>
    <row r="2" spans="2:4" s="212" customFormat="1" ht="20.25" x14ac:dyDescent="0.3">
      <c r="D2" s="212" t="s">
        <v>235</v>
      </c>
    </row>
    <row r="3" spans="2:4" s="176" customFormat="1" ht="18.75" thickBot="1" x14ac:dyDescent="0.3"/>
    <row r="4" spans="2:4" s="176" customFormat="1" ht="18" x14ac:dyDescent="0.25">
      <c r="B4" s="177">
        <v>1</v>
      </c>
      <c r="C4" s="178" t="s">
        <v>209</v>
      </c>
      <c r="D4" s="185" t="s">
        <v>219</v>
      </c>
    </row>
    <row r="5" spans="2:4" s="176" customFormat="1" ht="18" x14ac:dyDescent="0.25">
      <c r="B5" s="179"/>
      <c r="C5" s="180"/>
      <c r="D5" s="181" t="s">
        <v>220</v>
      </c>
    </row>
    <row r="6" spans="2:4" s="176" customFormat="1" ht="18" x14ac:dyDescent="0.25">
      <c r="B6" s="179"/>
      <c r="C6" s="180"/>
      <c r="D6" s="181" t="s">
        <v>221</v>
      </c>
    </row>
    <row r="7" spans="2:4" s="176" customFormat="1" ht="18" x14ac:dyDescent="0.25">
      <c r="B7" s="179"/>
      <c r="C7" s="180"/>
      <c r="D7" s="181" t="s">
        <v>222</v>
      </c>
    </row>
    <row r="8" spans="2:4" s="176" customFormat="1" ht="18" x14ac:dyDescent="0.25">
      <c r="B8" s="179"/>
      <c r="C8" s="180"/>
      <c r="D8" s="181" t="s">
        <v>223</v>
      </c>
    </row>
    <row r="9" spans="2:4" s="176" customFormat="1" ht="18" x14ac:dyDescent="0.25">
      <c r="B9" s="179"/>
      <c r="C9" s="180"/>
      <c r="D9" s="181" t="s">
        <v>224</v>
      </c>
    </row>
    <row r="10" spans="2:4" s="176" customFormat="1" ht="18" x14ac:dyDescent="0.25">
      <c r="B10" s="179"/>
      <c r="C10" s="180"/>
      <c r="D10" s="181" t="s">
        <v>226</v>
      </c>
    </row>
    <row r="11" spans="2:4" s="176" customFormat="1" ht="18" x14ac:dyDescent="0.25">
      <c r="B11" s="179"/>
      <c r="C11" s="180"/>
      <c r="D11" s="181" t="s">
        <v>227</v>
      </c>
    </row>
    <row r="12" spans="2:4" s="176" customFormat="1" ht="18" x14ac:dyDescent="0.25">
      <c r="B12" s="179"/>
      <c r="C12" s="180"/>
      <c r="D12" s="181"/>
    </row>
    <row r="13" spans="2:4" s="176" customFormat="1" ht="18" x14ac:dyDescent="0.25">
      <c r="B13" s="179">
        <v>2</v>
      </c>
      <c r="C13" s="180" t="s">
        <v>210</v>
      </c>
      <c r="D13" s="181" t="s">
        <v>214</v>
      </c>
    </row>
    <row r="14" spans="2:4" s="176" customFormat="1" ht="18" x14ac:dyDescent="0.25">
      <c r="B14" s="179"/>
      <c r="C14" s="180"/>
      <c r="D14" s="181" t="s">
        <v>216</v>
      </c>
    </row>
    <row r="15" spans="2:4" s="176" customFormat="1" ht="18" x14ac:dyDescent="0.25">
      <c r="B15" s="179"/>
      <c r="C15" s="180"/>
      <c r="D15" s="181" t="s">
        <v>215</v>
      </c>
    </row>
    <row r="16" spans="2:4" s="176" customFormat="1" ht="18" x14ac:dyDescent="0.25">
      <c r="B16" s="179"/>
      <c r="C16" s="180"/>
      <c r="D16" s="181" t="s">
        <v>217</v>
      </c>
    </row>
    <row r="17" spans="2:4" s="176" customFormat="1" ht="18" x14ac:dyDescent="0.25">
      <c r="B17" s="179"/>
      <c r="C17" s="180"/>
      <c r="D17" s="181" t="s">
        <v>225</v>
      </c>
    </row>
    <row r="18" spans="2:4" s="176" customFormat="1" ht="18" x14ac:dyDescent="0.25">
      <c r="B18" s="179"/>
      <c r="C18" s="180"/>
      <c r="D18" s="181"/>
    </row>
    <row r="19" spans="2:4" s="176" customFormat="1" ht="18" x14ac:dyDescent="0.25">
      <c r="B19" s="179">
        <v>3</v>
      </c>
      <c r="C19" s="180" t="s">
        <v>211</v>
      </c>
      <c r="D19" s="181" t="s">
        <v>231</v>
      </c>
    </row>
    <row r="20" spans="2:4" s="176" customFormat="1" ht="18" x14ac:dyDescent="0.25">
      <c r="B20" s="179"/>
      <c r="C20" s="180"/>
      <c r="D20" s="181" t="s">
        <v>232</v>
      </c>
    </row>
    <row r="21" spans="2:4" s="176" customFormat="1" ht="18" x14ac:dyDescent="0.25">
      <c r="B21" s="179"/>
      <c r="C21" s="180"/>
      <c r="D21" s="181" t="s">
        <v>234</v>
      </c>
    </row>
    <row r="22" spans="2:4" s="176" customFormat="1" ht="18" x14ac:dyDescent="0.25">
      <c r="B22" s="179"/>
      <c r="C22" s="180"/>
      <c r="D22" s="181"/>
    </row>
    <row r="23" spans="2:4" s="176" customFormat="1" ht="18" x14ac:dyDescent="0.25">
      <c r="B23" s="179">
        <v>5</v>
      </c>
      <c r="C23" s="180" t="s">
        <v>212</v>
      </c>
      <c r="D23" s="181" t="s">
        <v>236</v>
      </c>
    </row>
    <row r="24" spans="2:4" s="176" customFormat="1" ht="18" x14ac:dyDescent="0.25">
      <c r="B24" s="179"/>
      <c r="C24" s="180"/>
      <c r="D24" s="181" t="s">
        <v>237</v>
      </c>
    </row>
    <row r="25" spans="2:4" s="176" customFormat="1" ht="18" x14ac:dyDescent="0.25">
      <c r="B25" s="179"/>
      <c r="C25" s="180"/>
      <c r="D25" s="181"/>
    </row>
    <row r="26" spans="2:4" s="176" customFormat="1" ht="18" x14ac:dyDescent="0.25">
      <c r="B26" s="179">
        <v>6</v>
      </c>
      <c r="C26" s="180" t="s">
        <v>228</v>
      </c>
      <c r="D26" s="181" t="s">
        <v>233</v>
      </c>
    </row>
    <row r="27" spans="2:4" s="176" customFormat="1" ht="18" x14ac:dyDescent="0.25">
      <c r="B27" s="179"/>
      <c r="C27" s="180"/>
      <c r="D27" s="181" t="s">
        <v>238</v>
      </c>
    </row>
    <row r="28" spans="2:4" s="176" customFormat="1" ht="18" x14ac:dyDescent="0.25">
      <c r="B28" s="179"/>
      <c r="C28" s="180"/>
      <c r="D28" s="181" t="s">
        <v>229</v>
      </c>
    </row>
    <row r="29" spans="2:4" s="176" customFormat="1" ht="18" x14ac:dyDescent="0.25">
      <c r="B29" s="179"/>
      <c r="C29" s="180"/>
      <c r="D29" s="181" t="s">
        <v>230</v>
      </c>
    </row>
    <row r="30" spans="2:4" s="176" customFormat="1" ht="18.75" thickBot="1" x14ac:dyDescent="0.3">
      <c r="B30" s="182"/>
      <c r="C30" s="183"/>
      <c r="D30" s="184"/>
    </row>
    <row r="31" spans="2:4" s="176" customFormat="1" ht="18" x14ac:dyDescent="0.25">
      <c r="C31" s="176" t="s">
        <v>257</v>
      </c>
    </row>
    <row r="32" spans="2:4" s="176" customFormat="1" ht="18" x14ac:dyDescent="0.25">
      <c r="C32" s="176" t="s">
        <v>213</v>
      </c>
    </row>
    <row r="34" spans="3:4" s="213" customFormat="1" ht="20.25" x14ac:dyDescent="0.3">
      <c r="C34" s="213" t="s">
        <v>264</v>
      </c>
      <c r="D34" s="215"/>
    </row>
  </sheetData>
  <sheetProtection password="CF09" sheet="1" objects="1" scenarios="1"/>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T70"/>
  <sheetViews>
    <sheetView zoomScale="110" zoomScaleNormal="110" workbookViewId="0">
      <selection activeCell="B1" sqref="B1"/>
    </sheetView>
  </sheetViews>
  <sheetFormatPr defaultColWidth="9.140625" defaultRowHeight="14.25" x14ac:dyDescent="0.2"/>
  <cols>
    <col min="1" max="1" width="9.140625" style="83"/>
    <col min="2" max="2" width="39" style="69" customWidth="1"/>
    <col min="3" max="3" width="9.7109375" style="69" bestFit="1" customWidth="1"/>
    <col min="4" max="4" width="10.7109375" style="69" bestFit="1" customWidth="1"/>
    <col min="5" max="5" width="4.5703125" style="69" customWidth="1"/>
    <col min="6" max="6" width="10" style="69" customWidth="1"/>
    <col min="7" max="7" width="29.28515625" style="69" customWidth="1"/>
    <col min="8" max="8" width="6.5703125" style="69" customWidth="1"/>
    <col min="9" max="9" width="10.85546875" style="69" bestFit="1" customWidth="1"/>
    <col min="10" max="10" width="8" style="83" customWidth="1"/>
    <col min="11" max="11" width="9.140625" style="83"/>
    <col min="12" max="12" width="9.140625" style="69"/>
    <col min="13" max="13" width="28.7109375" style="69" bestFit="1" customWidth="1"/>
    <col min="14" max="16384" width="9.140625" style="69"/>
  </cols>
  <sheetData>
    <row r="1" spans="2:98" s="77" customFormat="1" ht="18" x14ac:dyDescent="0.25">
      <c r="B1" s="125">
        <f>'Farm ID'!B3</f>
        <v>0</v>
      </c>
      <c r="D1" s="77" t="s">
        <v>142</v>
      </c>
      <c r="G1" s="124">
        <f>'Farm ID'!B11</f>
        <v>0</v>
      </c>
      <c r="I1" s="263" t="s">
        <v>266</v>
      </c>
      <c r="J1" s="263"/>
      <c r="K1" s="263"/>
    </row>
    <row r="2" spans="2:98" s="77" customFormat="1" ht="18" x14ac:dyDescent="0.25">
      <c r="B2" s="76"/>
    </row>
    <row r="3" spans="2:98" s="79" customFormat="1" ht="15" x14ac:dyDescent="0.25">
      <c r="B3" s="78" t="s">
        <v>62</v>
      </c>
      <c r="C3" s="78"/>
      <c r="G3" s="78" t="s">
        <v>63</v>
      </c>
      <c r="O3" s="148" t="s">
        <v>175</v>
      </c>
    </row>
    <row r="4" spans="2:98" s="79" customFormat="1" x14ac:dyDescent="0.2"/>
    <row r="5" spans="2:98" s="79" customFormat="1" ht="15" x14ac:dyDescent="0.25">
      <c r="B5" s="78" t="s">
        <v>91</v>
      </c>
      <c r="C5" s="80" t="s">
        <v>64</v>
      </c>
      <c r="D5" s="80" t="s">
        <v>65</v>
      </c>
      <c r="G5" s="79" t="s">
        <v>66</v>
      </c>
      <c r="H5" s="80" t="s">
        <v>67</v>
      </c>
      <c r="I5" s="80" t="s">
        <v>68</v>
      </c>
      <c r="J5" s="80" t="s">
        <v>69</v>
      </c>
      <c r="L5" s="135" t="s">
        <v>174</v>
      </c>
      <c r="N5" s="150" t="s">
        <v>162</v>
      </c>
      <c r="O5" s="150" t="s">
        <v>163</v>
      </c>
      <c r="P5" s="150" t="s">
        <v>164</v>
      </c>
      <c r="Q5" s="150" t="s">
        <v>165</v>
      </c>
      <c r="R5" s="150" t="s">
        <v>166</v>
      </c>
      <c r="S5" s="150" t="s">
        <v>167</v>
      </c>
      <c r="T5" s="150" t="s">
        <v>168</v>
      </c>
      <c r="U5" s="150" t="s">
        <v>169</v>
      </c>
      <c r="V5" s="150" t="s">
        <v>170</v>
      </c>
      <c r="W5" s="150" t="s">
        <v>171</v>
      </c>
      <c r="X5" s="150" t="s">
        <v>172</v>
      </c>
      <c r="Y5" s="150" t="s">
        <v>173</v>
      </c>
    </row>
    <row r="6" spans="2:98" x14ac:dyDescent="0.2">
      <c r="B6" s="79" t="s">
        <v>95</v>
      </c>
      <c r="C6" s="71"/>
      <c r="D6" s="89"/>
      <c r="E6" s="79" t="s">
        <v>70</v>
      </c>
      <c r="F6" s="83"/>
      <c r="G6" s="79" t="s">
        <v>71</v>
      </c>
      <c r="H6" s="71"/>
      <c r="I6" s="74">
        <v>0.65</v>
      </c>
      <c r="J6" s="81">
        <f>H6*I6</f>
        <v>0</v>
      </c>
      <c r="K6" s="79"/>
      <c r="L6" s="151">
        <f>AVERAGE(N6:Y6)</f>
        <v>0</v>
      </c>
      <c r="M6" s="152" t="s">
        <v>71</v>
      </c>
      <c r="N6" s="149">
        <v>0</v>
      </c>
      <c r="O6" s="149">
        <v>0</v>
      </c>
      <c r="P6" s="149">
        <v>0</v>
      </c>
      <c r="Q6" s="149">
        <v>0</v>
      </c>
      <c r="R6" s="149">
        <v>0</v>
      </c>
      <c r="S6" s="149">
        <v>0</v>
      </c>
      <c r="T6" s="149">
        <v>0</v>
      </c>
      <c r="U6" s="149">
        <v>0</v>
      </c>
      <c r="V6" s="149">
        <v>0</v>
      </c>
      <c r="W6" s="149">
        <v>0</v>
      </c>
      <c r="X6" s="149">
        <v>0</v>
      </c>
      <c r="Y6" s="149">
        <v>0</v>
      </c>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row>
    <row r="7" spans="2:98" x14ac:dyDescent="0.2">
      <c r="B7" s="79" t="s">
        <v>96</v>
      </c>
      <c r="C7" s="71"/>
      <c r="D7" s="71"/>
      <c r="E7" s="79" t="s">
        <v>70</v>
      </c>
      <c r="F7" s="83"/>
      <c r="G7" s="79" t="s">
        <v>72</v>
      </c>
      <c r="H7" s="71"/>
      <c r="I7" s="74">
        <v>1</v>
      </c>
      <c r="J7" s="81">
        <f>H7*I7</f>
        <v>0</v>
      </c>
      <c r="K7" s="79"/>
      <c r="L7" s="151">
        <f t="shared" ref="L7:L22" si="0">AVERAGE(N7:Y7)</f>
        <v>0</v>
      </c>
      <c r="M7" s="152" t="s">
        <v>72</v>
      </c>
      <c r="N7" s="149">
        <v>0</v>
      </c>
      <c r="O7" s="149">
        <v>0</v>
      </c>
      <c r="P7" s="149">
        <v>0</v>
      </c>
      <c r="Q7" s="149">
        <v>0</v>
      </c>
      <c r="R7" s="149">
        <v>0</v>
      </c>
      <c r="S7" s="149">
        <v>0</v>
      </c>
      <c r="T7" s="149">
        <v>0</v>
      </c>
      <c r="U7" s="149">
        <v>0</v>
      </c>
      <c r="V7" s="149">
        <v>0</v>
      </c>
      <c r="W7" s="149">
        <v>0</v>
      </c>
      <c r="X7" s="149">
        <v>0</v>
      </c>
      <c r="Y7" s="149">
        <v>0</v>
      </c>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row>
    <row r="8" spans="2:98" x14ac:dyDescent="0.2">
      <c r="B8" s="79" t="s">
        <v>73</v>
      </c>
      <c r="C8" s="71"/>
      <c r="D8" s="71"/>
      <c r="E8" s="79" t="s">
        <v>70</v>
      </c>
      <c r="F8" s="83"/>
      <c r="G8" s="79" t="s">
        <v>74</v>
      </c>
      <c r="H8" s="71"/>
      <c r="I8" s="74">
        <v>0.81</v>
      </c>
      <c r="J8" s="81">
        <f>H8*I8</f>
        <v>0</v>
      </c>
      <c r="K8" s="79"/>
      <c r="L8" s="151">
        <f t="shared" si="0"/>
        <v>0</v>
      </c>
      <c r="M8" s="152" t="s">
        <v>74</v>
      </c>
      <c r="N8" s="73">
        <v>0</v>
      </c>
      <c r="O8" s="73">
        <v>0</v>
      </c>
      <c r="P8" s="73">
        <v>0</v>
      </c>
      <c r="Q8" s="73">
        <v>0</v>
      </c>
      <c r="R8" s="73">
        <v>0</v>
      </c>
      <c r="S8" s="73">
        <v>0</v>
      </c>
      <c r="T8" s="73">
        <v>0</v>
      </c>
      <c r="U8" s="73">
        <v>0</v>
      </c>
      <c r="V8" s="73">
        <v>0</v>
      </c>
      <c r="W8" s="73">
        <v>0</v>
      </c>
      <c r="X8" s="73">
        <v>0</v>
      </c>
      <c r="Y8" s="73">
        <v>0</v>
      </c>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row>
    <row r="9" spans="2:98" x14ac:dyDescent="0.2">
      <c r="B9" s="88" t="s">
        <v>75</v>
      </c>
      <c r="C9" s="72"/>
      <c r="D9" s="171"/>
      <c r="E9" s="79"/>
      <c r="F9" s="83"/>
      <c r="G9" s="135" t="s">
        <v>153</v>
      </c>
      <c r="H9" s="73"/>
      <c r="I9" s="75">
        <v>0.8</v>
      </c>
      <c r="J9" s="82">
        <f t="shared" ref="J9:J11" si="1">H9*I9</f>
        <v>0</v>
      </c>
      <c r="L9" s="151">
        <f t="shared" si="0"/>
        <v>0</v>
      </c>
      <c r="M9" s="153" t="s">
        <v>153</v>
      </c>
      <c r="N9" s="149">
        <v>0</v>
      </c>
      <c r="O9" s="149">
        <v>0</v>
      </c>
      <c r="P9" s="149">
        <v>0</v>
      </c>
      <c r="Q9" s="149">
        <v>0</v>
      </c>
      <c r="R9" s="149">
        <v>0</v>
      </c>
      <c r="S9" s="149">
        <v>0</v>
      </c>
      <c r="T9" s="149">
        <v>0</v>
      </c>
      <c r="U9" s="149">
        <v>0</v>
      </c>
      <c r="V9" s="149">
        <v>0</v>
      </c>
      <c r="W9" s="149">
        <v>0</v>
      </c>
      <c r="X9" s="149">
        <v>0</v>
      </c>
      <c r="Y9" s="149">
        <v>0</v>
      </c>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row>
    <row r="10" spans="2:98" x14ac:dyDescent="0.2">
      <c r="B10" s="79" t="s">
        <v>76</v>
      </c>
      <c r="C10" s="83">
        <f>SUM(C6:C9)</f>
        <v>0</v>
      </c>
      <c r="D10" s="83"/>
      <c r="E10" s="79" t="s">
        <v>70</v>
      </c>
      <c r="F10" s="83"/>
      <c r="G10" s="135" t="s">
        <v>154</v>
      </c>
      <c r="H10" s="73"/>
      <c r="I10" s="75">
        <v>0.65</v>
      </c>
      <c r="J10" s="82">
        <f t="shared" si="1"/>
        <v>0</v>
      </c>
      <c r="L10" s="151">
        <f t="shared" si="0"/>
        <v>0</v>
      </c>
      <c r="M10" s="153" t="s">
        <v>154</v>
      </c>
      <c r="N10" s="149">
        <v>0</v>
      </c>
      <c r="O10" s="149">
        <v>0</v>
      </c>
      <c r="P10" s="149">
        <v>0</v>
      </c>
      <c r="Q10" s="149">
        <v>0</v>
      </c>
      <c r="R10" s="149">
        <v>0</v>
      </c>
      <c r="S10" s="149">
        <v>0</v>
      </c>
      <c r="T10" s="149">
        <v>0</v>
      </c>
      <c r="U10" s="149">
        <v>0</v>
      </c>
      <c r="V10" s="149">
        <v>0</v>
      </c>
      <c r="W10" s="149">
        <v>0</v>
      </c>
      <c r="X10" s="149">
        <v>0</v>
      </c>
      <c r="Y10" s="149">
        <v>0</v>
      </c>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row>
    <row r="11" spans="2:98" x14ac:dyDescent="0.2">
      <c r="B11" s="90" t="s">
        <v>92</v>
      </c>
      <c r="C11" s="83"/>
      <c r="D11" s="83"/>
      <c r="E11" s="79"/>
      <c r="F11" s="83"/>
      <c r="G11" s="135" t="s">
        <v>156</v>
      </c>
      <c r="H11" s="73"/>
      <c r="I11" s="75">
        <v>0.8</v>
      </c>
      <c r="J11" s="82">
        <f t="shared" si="1"/>
        <v>0</v>
      </c>
      <c r="L11" s="151">
        <f t="shared" si="0"/>
        <v>0</v>
      </c>
      <c r="M11" s="153" t="s">
        <v>156</v>
      </c>
      <c r="N11" s="149">
        <v>0</v>
      </c>
      <c r="O11" s="149">
        <v>0</v>
      </c>
      <c r="P11" s="149">
        <v>0</v>
      </c>
      <c r="Q11" s="149">
        <v>0</v>
      </c>
      <c r="R11" s="149">
        <v>0</v>
      </c>
      <c r="S11" s="149">
        <v>0</v>
      </c>
      <c r="T11" s="149">
        <v>0</v>
      </c>
      <c r="U11" s="149">
        <v>0</v>
      </c>
      <c r="V11" s="149">
        <v>0</v>
      </c>
      <c r="W11" s="149">
        <v>0</v>
      </c>
      <c r="X11" s="149">
        <v>0</v>
      </c>
      <c r="Y11" s="149">
        <v>0</v>
      </c>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row>
    <row r="12" spans="2:98" x14ac:dyDescent="0.2">
      <c r="B12" s="79" t="s">
        <v>93</v>
      </c>
      <c r="C12" s="73"/>
      <c r="D12" s="73"/>
      <c r="E12" s="79" t="s">
        <v>70</v>
      </c>
      <c r="F12" s="90"/>
      <c r="G12" s="135" t="s">
        <v>155</v>
      </c>
      <c r="H12" s="73"/>
      <c r="I12" s="75">
        <v>0.65</v>
      </c>
      <c r="J12" s="82">
        <f t="shared" ref="J12:J17" si="2">H12*I12</f>
        <v>0</v>
      </c>
      <c r="L12" s="151">
        <f t="shared" si="0"/>
        <v>0</v>
      </c>
      <c r="M12" s="153" t="s">
        <v>155</v>
      </c>
      <c r="N12" s="149">
        <v>0</v>
      </c>
      <c r="O12" s="149">
        <v>0</v>
      </c>
      <c r="P12" s="149">
        <v>0</v>
      </c>
      <c r="Q12" s="149">
        <v>0</v>
      </c>
      <c r="R12" s="149">
        <v>0</v>
      </c>
      <c r="S12" s="149">
        <v>0</v>
      </c>
      <c r="T12" s="149">
        <v>0</v>
      </c>
      <c r="U12" s="149">
        <v>0</v>
      </c>
      <c r="V12" s="149">
        <v>0</v>
      </c>
      <c r="W12" s="149">
        <v>0</v>
      </c>
      <c r="X12" s="149">
        <v>0</v>
      </c>
      <c r="Y12" s="149">
        <v>0</v>
      </c>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row>
    <row r="13" spans="2:98" x14ac:dyDescent="0.2">
      <c r="B13" s="79" t="s">
        <v>94</v>
      </c>
      <c r="C13" s="73"/>
      <c r="D13" s="73"/>
      <c r="E13" s="79" t="s">
        <v>70</v>
      </c>
      <c r="F13" s="142"/>
      <c r="G13" s="135" t="s">
        <v>157</v>
      </c>
      <c r="H13" s="73"/>
      <c r="I13" s="75">
        <v>0.34</v>
      </c>
      <c r="J13" s="82">
        <f t="shared" si="2"/>
        <v>0</v>
      </c>
      <c r="L13" s="151">
        <f t="shared" si="0"/>
        <v>0</v>
      </c>
      <c r="M13" s="153" t="s">
        <v>157</v>
      </c>
      <c r="N13" s="149">
        <v>0</v>
      </c>
      <c r="O13" s="149">
        <v>0</v>
      </c>
      <c r="P13" s="149">
        <v>0</v>
      </c>
      <c r="Q13" s="149">
        <v>0</v>
      </c>
      <c r="R13" s="149">
        <v>0</v>
      </c>
      <c r="S13" s="149">
        <v>0</v>
      </c>
      <c r="T13" s="149">
        <v>0</v>
      </c>
      <c r="U13" s="149">
        <v>0</v>
      </c>
      <c r="V13" s="149">
        <v>0</v>
      </c>
      <c r="W13" s="149">
        <v>0</v>
      </c>
      <c r="X13" s="149">
        <v>0</v>
      </c>
      <c r="Y13" s="149">
        <v>0</v>
      </c>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row>
    <row r="14" spans="2:98" ht="15" x14ac:dyDescent="0.25">
      <c r="B14" s="78" t="s">
        <v>77</v>
      </c>
      <c r="C14" s="78"/>
      <c r="D14" s="78">
        <f>SUM(D7:D13)</f>
        <v>0</v>
      </c>
      <c r="E14" s="78" t="s">
        <v>70</v>
      </c>
      <c r="F14" s="83"/>
      <c r="G14" s="135" t="s">
        <v>158</v>
      </c>
      <c r="H14" s="73"/>
      <c r="I14" s="75">
        <v>0.8</v>
      </c>
      <c r="J14" s="82">
        <f t="shared" si="2"/>
        <v>0</v>
      </c>
      <c r="L14" s="151">
        <f t="shared" si="0"/>
        <v>0</v>
      </c>
      <c r="M14" s="153" t="s">
        <v>158</v>
      </c>
      <c r="N14" s="149">
        <v>0</v>
      </c>
      <c r="O14" s="149">
        <v>0</v>
      </c>
      <c r="P14" s="149">
        <v>0</v>
      </c>
      <c r="Q14" s="149">
        <v>0</v>
      </c>
      <c r="R14" s="149">
        <v>0</v>
      </c>
      <c r="S14" s="149">
        <v>0</v>
      </c>
      <c r="T14" s="149">
        <v>0</v>
      </c>
      <c r="U14" s="149">
        <v>0</v>
      </c>
      <c r="V14" s="149">
        <v>0</v>
      </c>
      <c r="W14" s="149">
        <v>0</v>
      </c>
      <c r="X14" s="149">
        <v>0</v>
      </c>
      <c r="Y14" s="149">
        <v>0</v>
      </c>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c r="CC14" s="83"/>
      <c r="CD14" s="83"/>
      <c r="CE14" s="83"/>
      <c r="CF14" s="83"/>
      <c r="CG14" s="83"/>
      <c r="CH14" s="83"/>
      <c r="CI14" s="83"/>
      <c r="CJ14" s="83"/>
      <c r="CK14" s="83"/>
      <c r="CL14" s="83"/>
      <c r="CM14" s="83"/>
      <c r="CN14" s="83"/>
      <c r="CO14" s="83"/>
      <c r="CP14" s="83"/>
      <c r="CQ14" s="83"/>
      <c r="CR14" s="83"/>
      <c r="CS14" s="83"/>
      <c r="CT14" s="83"/>
    </row>
    <row r="15" spans="2:98" x14ac:dyDescent="0.2">
      <c r="B15" s="79"/>
      <c r="C15" s="83"/>
      <c r="D15" s="83"/>
      <c r="E15" s="82"/>
      <c r="F15" s="83"/>
      <c r="G15" s="135" t="s">
        <v>159</v>
      </c>
      <c r="H15" s="73"/>
      <c r="I15" s="75">
        <v>0.65</v>
      </c>
      <c r="J15" s="82">
        <f t="shared" si="2"/>
        <v>0</v>
      </c>
      <c r="L15" s="151">
        <f t="shared" si="0"/>
        <v>0</v>
      </c>
      <c r="M15" s="153" t="s">
        <v>159</v>
      </c>
      <c r="N15" s="149">
        <v>0</v>
      </c>
      <c r="O15" s="149">
        <v>0</v>
      </c>
      <c r="P15" s="149">
        <v>0</v>
      </c>
      <c r="Q15" s="149">
        <v>0</v>
      </c>
      <c r="R15" s="149">
        <v>0</v>
      </c>
      <c r="S15" s="149">
        <v>0</v>
      </c>
      <c r="T15" s="149">
        <v>0</v>
      </c>
      <c r="U15" s="149">
        <v>0</v>
      </c>
      <c r="V15" s="149">
        <v>0</v>
      </c>
      <c r="W15" s="149">
        <v>0</v>
      </c>
      <c r="X15" s="149">
        <v>0</v>
      </c>
      <c r="Y15" s="149">
        <v>0</v>
      </c>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row>
    <row r="16" spans="2:98" x14ac:dyDescent="0.2">
      <c r="B16" s="79" t="s">
        <v>78</v>
      </c>
      <c r="C16" s="83"/>
      <c r="D16" s="83"/>
      <c r="E16" s="82"/>
      <c r="F16" s="83"/>
      <c r="G16" s="135" t="s">
        <v>160</v>
      </c>
      <c r="H16" s="73"/>
      <c r="I16" s="75">
        <v>0.65</v>
      </c>
      <c r="J16" s="82">
        <f t="shared" si="2"/>
        <v>0</v>
      </c>
      <c r="L16" s="151">
        <f t="shared" si="0"/>
        <v>0</v>
      </c>
      <c r="M16" s="153" t="s">
        <v>160</v>
      </c>
      <c r="N16" s="149">
        <v>0</v>
      </c>
      <c r="O16" s="149">
        <v>0</v>
      </c>
      <c r="P16" s="149">
        <v>0</v>
      </c>
      <c r="Q16" s="149">
        <v>0</v>
      </c>
      <c r="R16" s="149">
        <v>0</v>
      </c>
      <c r="S16" s="149">
        <v>0</v>
      </c>
      <c r="T16" s="149">
        <v>0</v>
      </c>
      <c r="U16" s="149">
        <v>0</v>
      </c>
      <c r="V16" s="149">
        <v>0</v>
      </c>
      <c r="W16" s="149">
        <v>0</v>
      </c>
      <c r="X16" s="149">
        <v>0</v>
      </c>
      <c r="Y16" s="149">
        <v>0</v>
      </c>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row>
    <row r="17" spans="1:98" x14ac:dyDescent="0.2">
      <c r="B17" s="86" t="s">
        <v>79</v>
      </c>
      <c r="C17" s="83"/>
      <c r="D17" s="145">
        <f>IFERROR($D$14*J25,0)</f>
        <v>0</v>
      </c>
      <c r="E17" s="82" t="s">
        <v>70</v>
      </c>
      <c r="F17" s="83"/>
      <c r="G17" s="135" t="s">
        <v>161</v>
      </c>
      <c r="H17" s="73"/>
      <c r="I17" s="75">
        <v>0.34</v>
      </c>
      <c r="J17" s="82">
        <f t="shared" si="2"/>
        <v>0</v>
      </c>
      <c r="L17" s="151">
        <f t="shared" si="0"/>
        <v>0</v>
      </c>
      <c r="M17" s="153" t="s">
        <v>161</v>
      </c>
      <c r="N17" s="149">
        <v>0</v>
      </c>
      <c r="O17" s="149">
        <v>0</v>
      </c>
      <c r="P17" s="149">
        <v>0</v>
      </c>
      <c r="Q17" s="149">
        <v>0</v>
      </c>
      <c r="R17" s="149">
        <v>0</v>
      </c>
      <c r="S17" s="149">
        <v>0</v>
      </c>
      <c r="T17" s="149">
        <v>0</v>
      </c>
      <c r="U17" s="149">
        <v>0</v>
      </c>
      <c r="V17" s="149">
        <v>0</v>
      </c>
      <c r="W17" s="149">
        <v>0</v>
      </c>
      <c r="X17" s="149">
        <v>0</v>
      </c>
      <c r="Y17" s="149">
        <v>0</v>
      </c>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row>
    <row r="18" spans="1:98" ht="15" x14ac:dyDescent="0.25">
      <c r="B18" s="86" t="s">
        <v>80</v>
      </c>
      <c r="C18" s="83"/>
      <c r="D18" s="145">
        <f>IFERROR($D$14*J26,0)</f>
        <v>0</v>
      </c>
      <c r="E18" s="82" t="s">
        <v>70</v>
      </c>
      <c r="F18" s="83"/>
      <c r="G18" s="78" t="s">
        <v>81</v>
      </c>
      <c r="H18" s="70"/>
      <c r="I18" s="70"/>
      <c r="J18" s="84">
        <f>SUM(J4:J17)</f>
        <v>0</v>
      </c>
      <c r="K18" s="78" t="s">
        <v>69</v>
      </c>
      <c r="L18" s="151"/>
      <c r="M18" s="152"/>
      <c r="N18" s="149"/>
      <c r="O18" s="149"/>
      <c r="P18" s="149"/>
      <c r="Q18" s="149"/>
      <c r="R18" s="149"/>
      <c r="S18" s="149"/>
      <c r="T18" s="149"/>
      <c r="U18" s="149"/>
      <c r="V18" s="149"/>
      <c r="W18" s="149"/>
      <c r="X18" s="149"/>
      <c r="Y18" s="149"/>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row>
    <row r="19" spans="1:98" x14ac:dyDescent="0.2">
      <c r="B19" s="83"/>
      <c r="C19" s="83"/>
      <c r="D19" s="83"/>
      <c r="E19" s="82"/>
      <c r="F19" s="83"/>
      <c r="G19" s="79" t="s">
        <v>38</v>
      </c>
      <c r="H19" s="73"/>
      <c r="I19" s="75">
        <v>0.08</v>
      </c>
      <c r="J19" s="82">
        <f t="shared" ref="J19:J21" si="3">H19*I19</f>
        <v>0</v>
      </c>
      <c r="L19" s="151">
        <f t="shared" si="0"/>
        <v>0</v>
      </c>
      <c r="M19" s="154" t="s">
        <v>38</v>
      </c>
      <c r="N19" s="149">
        <v>0</v>
      </c>
      <c r="O19" s="149">
        <v>0</v>
      </c>
      <c r="P19" s="149">
        <v>0</v>
      </c>
      <c r="Q19" s="149">
        <v>0</v>
      </c>
      <c r="R19" s="149">
        <v>0</v>
      </c>
      <c r="S19" s="149">
        <v>0</v>
      </c>
      <c r="T19" s="149">
        <v>0</v>
      </c>
      <c r="U19" s="149">
        <v>0</v>
      </c>
      <c r="V19" s="149">
        <v>0</v>
      </c>
      <c r="W19" s="149">
        <v>0</v>
      </c>
      <c r="X19" s="149">
        <v>0</v>
      </c>
      <c r="Y19" s="149">
        <v>0</v>
      </c>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row>
    <row r="20" spans="1:98" s="68" customFormat="1" ht="15" x14ac:dyDescent="0.25">
      <c r="A20" s="78"/>
      <c r="B20" s="78"/>
      <c r="C20" s="78"/>
      <c r="D20" s="78"/>
      <c r="E20" s="84"/>
      <c r="F20" s="78"/>
      <c r="G20" s="79" t="s">
        <v>48</v>
      </c>
      <c r="H20" s="73"/>
      <c r="I20" s="75">
        <v>0.11</v>
      </c>
      <c r="J20" s="82">
        <f t="shared" si="3"/>
        <v>0</v>
      </c>
      <c r="K20" s="83"/>
      <c r="L20" s="151">
        <f t="shared" si="0"/>
        <v>0</v>
      </c>
      <c r="M20" s="154" t="s">
        <v>48</v>
      </c>
      <c r="N20" s="149">
        <v>0</v>
      </c>
      <c r="O20" s="149">
        <v>0</v>
      </c>
      <c r="P20" s="149">
        <v>0</v>
      </c>
      <c r="Q20" s="149">
        <v>0</v>
      </c>
      <c r="R20" s="149">
        <v>0</v>
      </c>
      <c r="S20" s="149">
        <v>0</v>
      </c>
      <c r="T20" s="149">
        <v>0</v>
      </c>
      <c r="U20" s="149">
        <v>0</v>
      </c>
      <c r="V20" s="149">
        <v>0</v>
      </c>
      <c r="W20" s="149">
        <v>0</v>
      </c>
      <c r="X20" s="149">
        <v>0</v>
      </c>
      <c r="Y20" s="149">
        <v>0</v>
      </c>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row>
    <row r="21" spans="1:98" ht="15" x14ac:dyDescent="0.25">
      <c r="B21" s="78"/>
      <c r="C21" s="83"/>
      <c r="D21" s="83"/>
      <c r="E21" s="82"/>
      <c r="F21" s="83"/>
      <c r="G21" s="79" t="s">
        <v>83</v>
      </c>
      <c r="H21" s="73"/>
      <c r="I21" s="75">
        <v>0.06</v>
      </c>
      <c r="J21" s="82">
        <f t="shared" si="3"/>
        <v>0</v>
      </c>
      <c r="L21" s="151">
        <f t="shared" si="0"/>
        <v>0</v>
      </c>
      <c r="M21" s="154" t="s">
        <v>83</v>
      </c>
      <c r="N21" s="149">
        <v>0</v>
      </c>
      <c r="O21" s="149">
        <v>0</v>
      </c>
      <c r="P21" s="149">
        <v>0</v>
      </c>
      <c r="Q21" s="149">
        <v>0</v>
      </c>
      <c r="R21" s="149">
        <v>0</v>
      </c>
      <c r="S21" s="149">
        <v>0</v>
      </c>
      <c r="T21" s="149">
        <v>0</v>
      </c>
      <c r="U21" s="149">
        <v>0</v>
      </c>
      <c r="V21" s="149">
        <v>0</v>
      </c>
      <c r="W21" s="149">
        <v>0</v>
      </c>
      <c r="X21" s="149">
        <v>0</v>
      </c>
      <c r="Y21" s="149">
        <v>0</v>
      </c>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row>
    <row r="22" spans="1:98" ht="15" x14ac:dyDescent="0.25">
      <c r="B22" s="78" t="s">
        <v>82</v>
      </c>
      <c r="C22" s="83"/>
      <c r="D22" s="83"/>
      <c r="E22" s="82"/>
      <c r="F22" s="83"/>
      <c r="G22" s="79" t="s">
        <v>85</v>
      </c>
      <c r="H22" s="73"/>
      <c r="I22" s="75">
        <v>0.06</v>
      </c>
      <c r="J22" s="82">
        <f>H22*I22</f>
        <v>0</v>
      </c>
      <c r="L22" s="151">
        <f t="shared" si="0"/>
        <v>0</v>
      </c>
      <c r="M22" s="154" t="s">
        <v>85</v>
      </c>
      <c r="N22" s="149">
        <v>0</v>
      </c>
      <c r="O22" s="149">
        <v>0</v>
      </c>
      <c r="P22" s="149">
        <v>0</v>
      </c>
      <c r="Q22" s="149">
        <v>0</v>
      </c>
      <c r="R22" s="149">
        <v>0</v>
      </c>
      <c r="S22" s="149">
        <v>0</v>
      </c>
      <c r="T22" s="149">
        <v>0</v>
      </c>
      <c r="U22" s="149">
        <v>0</v>
      </c>
      <c r="V22" s="149">
        <v>0</v>
      </c>
      <c r="W22" s="149">
        <v>0</v>
      </c>
      <c r="X22" s="149">
        <v>0</v>
      </c>
      <c r="Y22" s="149">
        <v>0</v>
      </c>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row>
    <row r="23" spans="1:98" ht="15" x14ac:dyDescent="0.25">
      <c r="B23" s="79"/>
      <c r="C23" s="83"/>
      <c r="D23" s="83"/>
      <c r="E23" s="82"/>
      <c r="F23" s="83"/>
      <c r="G23" s="78" t="s">
        <v>87</v>
      </c>
      <c r="H23" s="78"/>
      <c r="I23" s="78"/>
      <c r="J23" s="84">
        <f>SUM(J19:J22)</f>
        <v>0</v>
      </c>
      <c r="K23" s="78" t="s">
        <v>69</v>
      </c>
      <c r="L23" s="146"/>
      <c r="M23" s="146"/>
      <c r="N23" s="147"/>
      <c r="O23" s="147"/>
      <c r="P23" s="147"/>
      <c r="Q23" s="147"/>
      <c r="R23" s="147"/>
      <c r="S23" s="147"/>
      <c r="T23" s="147"/>
      <c r="U23" s="147"/>
      <c r="V23" s="147"/>
      <c r="W23" s="147"/>
      <c r="X23" s="147"/>
      <c r="Y23" s="147"/>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row>
    <row r="24" spans="1:98" ht="15" x14ac:dyDescent="0.25">
      <c r="B24" s="79" t="s">
        <v>84</v>
      </c>
      <c r="C24" s="81">
        <f>J24</f>
        <v>0</v>
      </c>
      <c r="D24" s="78"/>
      <c r="E24" s="82"/>
      <c r="F24" s="83"/>
      <c r="G24" s="78" t="s">
        <v>84</v>
      </c>
      <c r="H24" s="78"/>
      <c r="I24" s="78"/>
      <c r="J24" s="84">
        <f>J18+J23</f>
        <v>0</v>
      </c>
      <c r="K24" s="78" t="s">
        <v>69</v>
      </c>
      <c r="L24" s="146"/>
      <c r="M24" s="146"/>
      <c r="N24" s="147"/>
      <c r="O24" s="147"/>
      <c r="P24" s="147"/>
      <c r="Q24" s="147"/>
      <c r="R24" s="147"/>
      <c r="S24" s="147"/>
      <c r="T24" s="147"/>
      <c r="U24" s="147"/>
      <c r="V24" s="147"/>
      <c r="W24" s="147"/>
      <c r="X24" s="147"/>
      <c r="Y24" s="147"/>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row>
    <row r="25" spans="1:98" s="68" customFormat="1" ht="15" x14ac:dyDescent="0.25">
      <c r="A25" s="78"/>
      <c r="B25" s="79" t="s">
        <v>86</v>
      </c>
      <c r="C25" s="79">
        <f>D14</f>
        <v>0</v>
      </c>
      <c r="D25" s="83"/>
      <c r="E25" s="84"/>
      <c r="F25" s="78"/>
      <c r="G25" s="78" t="s">
        <v>90</v>
      </c>
      <c r="H25" s="78"/>
      <c r="I25" s="78" t="s">
        <v>17</v>
      </c>
      <c r="J25" s="85">
        <f>IFERROR(J18/J24,0)</f>
        <v>0</v>
      </c>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row>
    <row r="26" spans="1:98" s="68" customFormat="1" ht="15" x14ac:dyDescent="0.25">
      <c r="A26" s="78"/>
      <c r="B26" s="78" t="s">
        <v>88</v>
      </c>
      <c r="C26" s="87">
        <f>IFERROR(C24/C25,0)</f>
        <v>0</v>
      </c>
      <c r="D26" s="78" t="s">
        <v>89</v>
      </c>
      <c r="E26" s="84"/>
      <c r="F26" s="78"/>
      <c r="G26" s="78"/>
      <c r="H26" s="78"/>
      <c r="I26" s="78" t="s">
        <v>2</v>
      </c>
      <c r="J26" s="85">
        <f>IFERROR(J23/J24,0)</f>
        <v>0</v>
      </c>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row>
    <row r="27" spans="1:98" ht="15" x14ac:dyDescent="0.25">
      <c r="B27" s="78"/>
      <c r="C27" s="83"/>
      <c r="D27" s="83"/>
      <c r="E27" s="84"/>
      <c r="F27" s="83"/>
      <c r="G27" s="78"/>
      <c r="H27" s="78"/>
      <c r="I27" s="78"/>
      <c r="J27" s="85"/>
      <c r="K27" s="78"/>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row>
    <row r="28" spans="1:98" ht="15" x14ac:dyDescent="0.25">
      <c r="B28" s="78"/>
      <c r="C28" s="83"/>
      <c r="D28" s="83"/>
      <c r="E28" s="84"/>
      <c r="F28" s="83"/>
      <c r="G28" s="78"/>
      <c r="H28" s="78"/>
      <c r="I28" s="78"/>
      <c r="J28" s="85"/>
      <c r="K28" s="78"/>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row>
    <row r="29" spans="1:98" s="218" customFormat="1" ht="18" x14ac:dyDescent="0.25">
      <c r="A29" s="216"/>
      <c r="B29" s="263" t="s">
        <v>269</v>
      </c>
      <c r="C29" s="264"/>
      <c r="D29" s="264"/>
      <c r="E29" s="265"/>
      <c r="F29" s="264"/>
      <c r="G29" s="77"/>
      <c r="H29" s="77"/>
      <c r="I29" s="77"/>
      <c r="J29" s="217"/>
      <c r="K29" s="77"/>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216"/>
      <c r="AM29" s="216"/>
      <c r="AN29" s="216"/>
      <c r="AO29" s="216"/>
      <c r="AP29" s="216"/>
      <c r="AQ29" s="216"/>
      <c r="AR29" s="216"/>
      <c r="AS29" s="216"/>
      <c r="AT29" s="216"/>
      <c r="AU29" s="216"/>
      <c r="AV29" s="216"/>
      <c r="AW29" s="216"/>
      <c r="AX29" s="216"/>
      <c r="AY29" s="216"/>
      <c r="AZ29" s="216"/>
      <c r="BA29" s="216"/>
      <c r="BB29" s="216"/>
      <c r="BC29" s="216"/>
      <c r="BD29" s="216"/>
      <c r="BE29" s="216"/>
      <c r="BF29" s="216"/>
      <c r="BG29" s="216"/>
      <c r="BH29" s="216"/>
      <c r="BI29" s="216"/>
      <c r="BJ29" s="216"/>
      <c r="BK29" s="216"/>
      <c r="BL29" s="216"/>
      <c r="BM29" s="216"/>
      <c r="BN29" s="216"/>
      <c r="BO29" s="216"/>
      <c r="BP29" s="216"/>
      <c r="BQ29" s="216"/>
      <c r="BR29" s="216"/>
      <c r="BS29" s="216"/>
      <c r="BT29" s="216"/>
      <c r="BU29" s="216"/>
      <c r="BV29" s="216"/>
      <c r="BW29" s="216"/>
      <c r="BX29" s="216"/>
      <c r="BY29" s="216"/>
      <c r="BZ29" s="216"/>
      <c r="CA29" s="216"/>
      <c r="CB29" s="216"/>
      <c r="CC29" s="216"/>
      <c r="CD29" s="216"/>
      <c r="CE29" s="216"/>
      <c r="CF29" s="216"/>
      <c r="CG29" s="216"/>
      <c r="CH29" s="216"/>
      <c r="CI29" s="216"/>
      <c r="CJ29" s="216"/>
      <c r="CK29" s="216"/>
      <c r="CL29" s="216"/>
      <c r="CM29" s="216"/>
      <c r="CN29" s="216"/>
      <c r="CO29" s="216"/>
      <c r="CP29" s="216"/>
      <c r="CQ29" s="216"/>
      <c r="CR29" s="216"/>
      <c r="CS29" s="216"/>
      <c r="CT29" s="216"/>
    </row>
    <row r="30" spans="1:98" s="259" customFormat="1" ht="15" x14ac:dyDescent="0.2">
      <c r="A30" s="258"/>
      <c r="B30" s="258"/>
      <c r="C30" s="258"/>
      <c r="D30" s="258"/>
      <c r="E30" s="260"/>
      <c r="F30" s="258"/>
      <c r="G30" s="258"/>
      <c r="H30" s="258"/>
      <c r="I30" s="258"/>
      <c r="J30" s="261"/>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58"/>
      <c r="BQ30" s="258"/>
      <c r="BR30" s="258"/>
      <c r="BS30" s="258"/>
      <c r="BT30" s="258"/>
      <c r="BU30" s="258"/>
      <c r="BV30" s="258"/>
      <c r="BW30" s="258"/>
      <c r="BX30" s="258"/>
      <c r="BY30" s="258"/>
      <c r="BZ30" s="258"/>
      <c r="CA30" s="258"/>
      <c r="CB30" s="258"/>
      <c r="CC30" s="258"/>
      <c r="CD30" s="258"/>
      <c r="CE30" s="258"/>
      <c r="CF30" s="258"/>
      <c r="CG30" s="258"/>
      <c r="CH30" s="258"/>
      <c r="CI30" s="258"/>
      <c r="CJ30" s="258"/>
      <c r="CK30" s="258"/>
      <c r="CL30" s="258"/>
      <c r="CM30" s="258"/>
      <c r="CN30" s="258"/>
      <c r="CO30" s="258"/>
      <c r="CP30" s="258"/>
      <c r="CQ30" s="258"/>
      <c r="CR30" s="258"/>
      <c r="CS30" s="258"/>
      <c r="CT30" s="258"/>
    </row>
    <row r="31" spans="1:98" s="259" customFormat="1" ht="15" x14ac:dyDescent="0.2">
      <c r="A31" s="258"/>
      <c r="B31" s="258" t="s">
        <v>267</v>
      </c>
      <c r="C31" s="258"/>
      <c r="D31" s="258"/>
      <c r="E31" s="260"/>
      <c r="F31" s="258"/>
      <c r="G31" s="258"/>
      <c r="H31" s="258"/>
      <c r="I31" s="258"/>
      <c r="J31" s="261"/>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258"/>
      <c r="CM31" s="258"/>
      <c r="CN31" s="258"/>
      <c r="CO31" s="258"/>
      <c r="CP31" s="258"/>
      <c r="CQ31" s="258"/>
      <c r="CR31" s="258"/>
      <c r="CS31" s="258"/>
      <c r="CT31" s="258"/>
    </row>
    <row r="32" spans="1:98" s="259" customFormat="1" ht="15" x14ac:dyDescent="0.2">
      <c r="A32" s="258"/>
      <c r="B32" s="258" t="s">
        <v>268</v>
      </c>
      <c r="C32" s="258"/>
      <c r="D32" s="258"/>
      <c r="E32" s="260"/>
      <c r="F32" s="258"/>
      <c r="G32" s="258"/>
      <c r="H32" s="258"/>
      <c r="I32" s="258"/>
      <c r="J32" s="261"/>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c r="CN32" s="258"/>
      <c r="CO32" s="258"/>
      <c r="CP32" s="258"/>
      <c r="CQ32" s="258"/>
      <c r="CR32" s="258"/>
      <c r="CS32" s="258"/>
      <c r="CT32" s="258"/>
    </row>
    <row r="33" spans="1:98" s="259" customFormat="1" ht="15" x14ac:dyDescent="0.2">
      <c r="A33" s="258"/>
      <c r="B33" s="258" t="s">
        <v>279</v>
      </c>
      <c r="C33" s="258"/>
      <c r="D33" s="258"/>
      <c r="E33" s="260"/>
      <c r="F33" s="258"/>
      <c r="G33" s="258"/>
      <c r="H33" s="258"/>
      <c r="I33" s="258"/>
      <c r="J33" s="261"/>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row>
    <row r="34" spans="1:98" s="259" customFormat="1" ht="15" x14ac:dyDescent="0.2">
      <c r="A34" s="258"/>
      <c r="B34" s="258" t="s">
        <v>280</v>
      </c>
      <c r="C34" s="258"/>
      <c r="D34" s="258"/>
      <c r="E34" s="260"/>
      <c r="F34" s="258"/>
      <c r="G34" s="258"/>
      <c r="H34" s="258"/>
      <c r="I34" s="258"/>
      <c r="J34" s="261"/>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S34" s="258"/>
      <c r="BT34" s="258"/>
      <c r="BU34" s="258"/>
      <c r="BV34" s="258"/>
      <c r="BW34" s="258"/>
      <c r="BX34" s="258"/>
      <c r="BY34" s="258"/>
      <c r="BZ34" s="258"/>
      <c r="CA34" s="258"/>
      <c r="CB34" s="258"/>
      <c r="CC34" s="258"/>
      <c r="CD34" s="258"/>
      <c r="CE34" s="258"/>
      <c r="CF34" s="258"/>
      <c r="CG34" s="258"/>
      <c r="CH34" s="258"/>
      <c r="CI34" s="258"/>
      <c r="CJ34" s="258"/>
      <c r="CK34" s="258"/>
      <c r="CL34" s="258"/>
      <c r="CM34" s="258"/>
      <c r="CN34" s="258"/>
      <c r="CO34" s="258"/>
      <c r="CP34" s="258"/>
      <c r="CQ34" s="258"/>
      <c r="CR34" s="258"/>
      <c r="CS34" s="258"/>
      <c r="CT34" s="258"/>
    </row>
    <row r="35" spans="1:98" s="259" customFormat="1" ht="15" x14ac:dyDescent="0.2">
      <c r="A35" s="258"/>
      <c r="B35" s="258" t="s">
        <v>270</v>
      </c>
      <c r="C35" s="258"/>
      <c r="D35" s="258"/>
      <c r="E35" s="260"/>
      <c r="F35" s="258"/>
      <c r="G35" s="258"/>
      <c r="H35" s="258"/>
      <c r="I35" s="258"/>
      <c r="J35" s="261"/>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58"/>
      <c r="BQ35" s="258"/>
      <c r="BR35" s="258"/>
      <c r="BS35" s="258"/>
      <c r="BT35" s="258"/>
      <c r="BU35" s="258"/>
      <c r="BV35" s="258"/>
      <c r="BW35" s="258"/>
      <c r="BX35" s="258"/>
      <c r="BY35" s="258"/>
      <c r="BZ35" s="258"/>
      <c r="CA35" s="258"/>
      <c r="CB35" s="258"/>
      <c r="CC35" s="258"/>
      <c r="CD35" s="258"/>
      <c r="CE35" s="258"/>
      <c r="CF35" s="258"/>
      <c r="CG35" s="258"/>
      <c r="CH35" s="258"/>
      <c r="CI35" s="258"/>
      <c r="CJ35" s="258"/>
      <c r="CK35" s="258"/>
      <c r="CL35" s="258"/>
      <c r="CM35" s="258"/>
      <c r="CN35" s="258"/>
      <c r="CO35" s="258"/>
      <c r="CP35" s="258"/>
      <c r="CQ35" s="258"/>
      <c r="CR35" s="258"/>
      <c r="CS35" s="258"/>
      <c r="CT35" s="258"/>
    </row>
    <row r="36" spans="1:98" s="259" customFormat="1" ht="15" x14ac:dyDescent="0.2">
      <c r="A36" s="258"/>
      <c r="B36" s="258" t="s">
        <v>271</v>
      </c>
      <c r="C36" s="258"/>
      <c r="D36" s="258"/>
      <c r="E36" s="260"/>
      <c r="F36" s="258"/>
      <c r="G36" s="258"/>
      <c r="H36" s="258"/>
      <c r="I36" s="258"/>
      <c r="J36" s="261"/>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c r="CD36" s="258"/>
      <c r="CE36" s="258"/>
      <c r="CF36" s="258"/>
      <c r="CG36" s="258"/>
      <c r="CH36" s="258"/>
      <c r="CI36" s="258"/>
      <c r="CJ36" s="258"/>
      <c r="CK36" s="258"/>
      <c r="CL36" s="258"/>
      <c r="CM36" s="258"/>
      <c r="CN36" s="258"/>
      <c r="CO36" s="258"/>
      <c r="CP36" s="258"/>
      <c r="CQ36" s="258"/>
      <c r="CR36" s="258"/>
      <c r="CS36" s="258"/>
      <c r="CT36" s="258"/>
    </row>
    <row r="37" spans="1:98" s="259" customFormat="1" ht="15" x14ac:dyDescent="0.2">
      <c r="A37" s="258"/>
      <c r="B37" s="258" t="s">
        <v>272</v>
      </c>
      <c r="C37" s="258"/>
      <c r="D37" s="258"/>
      <c r="E37" s="260"/>
      <c r="F37" s="258"/>
      <c r="G37" s="258"/>
      <c r="H37" s="258"/>
      <c r="I37" s="258"/>
      <c r="J37" s="261"/>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8"/>
      <c r="BR37" s="258"/>
      <c r="BS37" s="258"/>
      <c r="BT37" s="258"/>
      <c r="BU37" s="258"/>
      <c r="BV37" s="258"/>
      <c r="BW37" s="258"/>
      <c r="BX37" s="258"/>
      <c r="BY37" s="258"/>
      <c r="BZ37" s="258"/>
      <c r="CA37" s="258"/>
      <c r="CB37" s="258"/>
      <c r="CC37" s="258"/>
      <c r="CD37" s="258"/>
      <c r="CE37" s="258"/>
      <c r="CF37" s="258"/>
      <c r="CG37" s="258"/>
      <c r="CH37" s="258"/>
      <c r="CI37" s="258"/>
      <c r="CJ37" s="258"/>
      <c r="CK37" s="258"/>
      <c r="CL37" s="258"/>
      <c r="CM37" s="258"/>
      <c r="CN37" s="258"/>
      <c r="CO37" s="258"/>
      <c r="CP37" s="258"/>
      <c r="CQ37" s="258"/>
      <c r="CR37" s="258"/>
      <c r="CS37" s="258"/>
      <c r="CT37" s="258"/>
    </row>
    <row r="38" spans="1:98" s="259" customFormat="1" ht="15" x14ac:dyDescent="0.2">
      <c r="A38" s="258"/>
      <c r="B38" s="258"/>
      <c r="C38" s="258"/>
      <c r="D38" s="258"/>
      <c r="E38" s="260"/>
      <c r="F38" s="258"/>
      <c r="G38" s="258"/>
      <c r="H38" s="258"/>
      <c r="I38" s="258"/>
      <c r="J38" s="261"/>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8"/>
      <c r="BR38" s="258"/>
      <c r="BS38" s="258"/>
      <c r="BT38" s="258"/>
      <c r="BU38" s="258"/>
      <c r="BV38" s="258"/>
      <c r="BW38" s="258"/>
      <c r="BX38" s="258"/>
      <c r="BY38" s="258"/>
      <c r="BZ38" s="258"/>
      <c r="CA38" s="258"/>
      <c r="CB38" s="258"/>
      <c r="CC38" s="258"/>
      <c r="CD38" s="258"/>
      <c r="CE38" s="258"/>
      <c r="CF38" s="258"/>
      <c r="CG38" s="258"/>
      <c r="CH38" s="258"/>
      <c r="CI38" s="258"/>
      <c r="CJ38" s="258"/>
      <c r="CK38" s="258"/>
      <c r="CL38" s="258"/>
      <c r="CM38" s="258"/>
      <c r="CN38" s="258"/>
      <c r="CO38" s="258"/>
      <c r="CP38" s="258"/>
      <c r="CQ38" s="258"/>
      <c r="CR38" s="258"/>
      <c r="CS38" s="258"/>
      <c r="CT38" s="258"/>
    </row>
    <row r="39" spans="1:98" s="259" customFormat="1" ht="15" x14ac:dyDescent="0.2">
      <c r="A39" s="258"/>
      <c r="B39" s="258" t="s">
        <v>273</v>
      </c>
      <c r="C39" s="258"/>
      <c r="D39" s="258"/>
      <c r="E39" s="260"/>
      <c r="F39" s="258"/>
      <c r="G39" s="258"/>
      <c r="H39" s="258"/>
      <c r="I39" s="258"/>
      <c r="J39" s="261"/>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c r="BT39" s="258"/>
      <c r="BU39" s="258"/>
      <c r="BV39" s="258"/>
      <c r="BW39" s="258"/>
      <c r="BX39" s="258"/>
      <c r="BY39" s="258"/>
      <c r="BZ39" s="258"/>
      <c r="CA39" s="258"/>
      <c r="CB39" s="258"/>
      <c r="CC39" s="258"/>
      <c r="CD39" s="258"/>
      <c r="CE39" s="258"/>
      <c r="CF39" s="258"/>
      <c r="CG39" s="258"/>
      <c r="CH39" s="258"/>
      <c r="CI39" s="258"/>
      <c r="CJ39" s="258"/>
      <c r="CK39" s="258"/>
      <c r="CL39" s="258"/>
      <c r="CM39" s="258"/>
      <c r="CN39" s="258"/>
      <c r="CO39" s="258"/>
      <c r="CP39" s="258"/>
      <c r="CQ39" s="258"/>
      <c r="CR39" s="258"/>
      <c r="CS39" s="258"/>
      <c r="CT39" s="258"/>
    </row>
    <row r="40" spans="1:98" s="259" customFormat="1" ht="15" x14ac:dyDescent="0.2">
      <c r="A40" s="258"/>
      <c r="B40" s="262" t="s">
        <v>274</v>
      </c>
      <c r="C40" s="258"/>
      <c r="D40" s="258"/>
      <c r="E40" s="260"/>
      <c r="F40" s="258"/>
      <c r="G40" s="258"/>
      <c r="H40" s="258"/>
      <c r="I40" s="258"/>
      <c r="J40" s="261"/>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8"/>
      <c r="BR40" s="258"/>
      <c r="BS40" s="258"/>
      <c r="BT40" s="258"/>
      <c r="BU40" s="258"/>
      <c r="BV40" s="258"/>
      <c r="BW40" s="258"/>
      <c r="BX40" s="258"/>
      <c r="BY40" s="258"/>
      <c r="BZ40" s="258"/>
      <c r="CA40" s="258"/>
      <c r="CB40" s="258"/>
      <c r="CC40" s="258"/>
      <c r="CD40" s="258"/>
      <c r="CE40" s="258"/>
      <c r="CF40" s="258"/>
      <c r="CG40" s="258"/>
      <c r="CH40" s="258"/>
      <c r="CI40" s="258"/>
      <c r="CJ40" s="258"/>
      <c r="CK40" s="258"/>
      <c r="CL40" s="258"/>
      <c r="CM40" s="258"/>
      <c r="CN40" s="258"/>
      <c r="CO40" s="258"/>
      <c r="CP40" s="258"/>
      <c r="CQ40" s="258"/>
      <c r="CR40" s="258"/>
      <c r="CS40" s="258"/>
      <c r="CT40" s="258"/>
    </row>
    <row r="41" spans="1:98" s="259" customFormat="1" ht="15" x14ac:dyDescent="0.2">
      <c r="A41" s="258"/>
      <c r="B41" s="262" t="s">
        <v>275</v>
      </c>
      <c r="C41" s="258"/>
      <c r="D41" s="258"/>
      <c r="E41" s="260"/>
      <c r="F41" s="258"/>
      <c r="G41" s="258"/>
      <c r="H41" s="258"/>
      <c r="I41" s="258"/>
      <c r="J41" s="261"/>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258"/>
      <c r="CM41" s="258"/>
      <c r="CN41" s="258"/>
      <c r="CO41" s="258"/>
      <c r="CP41" s="258"/>
      <c r="CQ41" s="258"/>
      <c r="CR41" s="258"/>
      <c r="CS41" s="258"/>
      <c r="CT41" s="258"/>
    </row>
    <row r="42" spans="1:98" s="259" customFormat="1" ht="15" x14ac:dyDescent="0.2">
      <c r="A42" s="258"/>
      <c r="B42" s="262" t="s">
        <v>276</v>
      </c>
      <c r="C42" s="258"/>
      <c r="D42" s="258"/>
      <c r="E42" s="260"/>
      <c r="F42" s="258"/>
      <c r="G42" s="258"/>
      <c r="H42" s="258"/>
      <c r="I42" s="258"/>
      <c r="J42" s="261"/>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8"/>
      <c r="BR42" s="258"/>
      <c r="BS42" s="258"/>
      <c r="BT42" s="258"/>
      <c r="BU42" s="258"/>
      <c r="BV42" s="258"/>
      <c r="BW42" s="258"/>
      <c r="BX42" s="258"/>
      <c r="BY42" s="258"/>
      <c r="BZ42" s="258"/>
      <c r="CA42" s="258"/>
      <c r="CB42" s="258"/>
      <c r="CC42" s="258"/>
      <c r="CD42" s="258"/>
      <c r="CE42" s="258"/>
      <c r="CF42" s="258"/>
      <c r="CG42" s="258"/>
      <c r="CH42" s="258"/>
      <c r="CI42" s="258"/>
      <c r="CJ42" s="258"/>
      <c r="CK42" s="258"/>
      <c r="CL42" s="258"/>
      <c r="CM42" s="258"/>
      <c r="CN42" s="258"/>
      <c r="CO42" s="258"/>
      <c r="CP42" s="258"/>
      <c r="CQ42" s="258"/>
      <c r="CR42" s="258"/>
      <c r="CS42" s="258"/>
      <c r="CT42" s="258"/>
    </row>
    <row r="43" spans="1:98" s="259" customFormat="1" ht="15" x14ac:dyDescent="0.2">
      <c r="A43" s="258"/>
      <c r="B43" s="262" t="s">
        <v>277</v>
      </c>
      <c r="C43" s="258"/>
      <c r="D43" s="258"/>
      <c r="E43" s="260"/>
      <c r="F43" s="258"/>
      <c r="G43" s="258"/>
      <c r="H43" s="258"/>
      <c r="I43" s="258"/>
      <c r="J43" s="261"/>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8"/>
      <c r="BR43" s="258"/>
      <c r="BS43" s="258"/>
      <c r="BT43" s="258"/>
      <c r="BU43" s="258"/>
      <c r="BV43" s="258"/>
      <c r="BW43" s="258"/>
      <c r="BX43" s="258"/>
      <c r="BY43" s="258"/>
      <c r="BZ43" s="258"/>
      <c r="CA43" s="258"/>
      <c r="CB43" s="258"/>
      <c r="CC43" s="258"/>
      <c r="CD43" s="258"/>
      <c r="CE43" s="258"/>
      <c r="CF43" s="258"/>
      <c r="CG43" s="258"/>
      <c r="CH43" s="258"/>
      <c r="CI43" s="258"/>
      <c r="CJ43" s="258"/>
      <c r="CK43" s="258"/>
      <c r="CL43" s="258"/>
      <c r="CM43" s="258"/>
      <c r="CN43" s="258"/>
      <c r="CO43" s="258"/>
      <c r="CP43" s="258"/>
      <c r="CQ43" s="258"/>
      <c r="CR43" s="258"/>
      <c r="CS43" s="258"/>
      <c r="CT43" s="258"/>
    </row>
    <row r="44" spans="1:98" s="259" customFormat="1" ht="15" x14ac:dyDescent="0.2">
      <c r="A44" s="258"/>
      <c r="B44" s="262" t="s">
        <v>278</v>
      </c>
      <c r="C44" s="258"/>
      <c r="D44" s="258"/>
      <c r="E44" s="260"/>
      <c r="F44" s="258"/>
      <c r="G44" s="258"/>
      <c r="H44" s="258"/>
      <c r="I44" s="258"/>
      <c r="J44" s="261"/>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8"/>
      <c r="BR44" s="258"/>
      <c r="BS44" s="258"/>
      <c r="BT44" s="258"/>
      <c r="BU44" s="258"/>
      <c r="BV44" s="258"/>
      <c r="BW44" s="258"/>
      <c r="BX44" s="258"/>
      <c r="BY44" s="258"/>
      <c r="BZ44" s="258"/>
      <c r="CA44" s="258"/>
      <c r="CB44" s="258"/>
      <c r="CC44" s="258"/>
      <c r="CD44" s="258"/>
      <c r="CE44" s="258"/>
      <c r="CF44" s="258"/>
      <c r="CG44" s="258"/>
      <c r="CH44" s="258"/>
      <c r="CI44" s="258"/>
      <c r="CJ44" s="258"/>
      <c r="CK44" s="258"/>
      <c r="CL44" s="258"/>
      <c r="CM44" s="258"/>
      <c r="CN44" s="258"/>
      <c r="CO44" s="258"/>
      <c r="CP44" s="258"/>
      <c r="CQ44" s="258"/>
      <c r="CR44" s="258"/>
      <c r="CS44" s="258"/>
      <c r="CT44" s="258"/>
    </row>
    <row r="45" spans="1:98" s="257" customFormat="1" ht="15" thickBot="1" x14ac:dyDescent="0.25">
      <c r="A45" s="256"/>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c r="BT45" s="256"/>
      <c r="BU45" s="256"/>
      <c r="BV45" s="256"/>
      <c r="BW45" s="256"/>
      <c r="BX45" s="256"/>
      <c r="BY45" s="256"/>
      <c r="BZ45" s="256"/>
      <c r="CA45" s="256"/>
      <c r="CB45" s="256"/>
      <c r="CC45" s="256"/>
      <c r="CD45" s="256"/>
      <c r="CE45" s="256"/>
      <c r="CF45" s="256"/>
      <c r="CG45" s="256"/>
      <c r="CH45" s="256"/>
      <c r="CI45" s="256"/>
      <c r="CJ45" s="256"/>
      <c r="CK45" s="256"/>
      <c r="CL45" s="256"/>
      <c r="CM45" s="256"/>
      <c r="CN45" s="256"/>
      <c r="CO45" s="256"/>
      <c r="CP45" s="256"/>
      <c r="CQ45" s="256"/>
      <c r="CR45" s="256"/>
      <c r="CS45" s="256"/>
      <c r="CT45" s="256"/>
    </row>
    <row r="46" spans="1:98" ht="15" x14ac:dyDescent="0.25">
      <c r="A46" s="79"/>
      <c r="B46" s="219" t="s">
        <v>62</v>
      </c>
      <c r="C46" s="220"/>
      <c r="D46" s="221"/>
      <c r="E46" s="221"/>
      <c r="F46" s="221"/>
      <c r="G46" s="220" t="s">
        <v>63</v>
      </c>
      <c r="H46" s="221"/>
      <c r="I46" s="221"/>
      <c r="J46" s="221"/>
      <c r="K46" s="221"/>
      <c r="L46" s="221"/>
      <c r="M46" s="221"/>
      <c r="N46" s="221"/>
      <c r="O46" s="222" t="s">
        <v>175</v>
      </c>
      <c r="P46" s="221"/>
      <c r="Q46" s="221"/>
      <c r="R46" s="221"/>
      <c r="S46" s="221"/>
      <c r="T46" s="221"/>
      <c r="U46" s="221"/>
      <c r="V46" s="221"/>
      <c r="W46" s="221"/>
      <c r="X46" s="221"/>
      <c r="Y46" s="221"/>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row>
    <row r="47" spans="1:98" s="83" customFormat="1" x14ac:dyDescent="0.2">
      <c r="A47" s="79"/>
      <c r="B47" s="223"/>
      <c r="C47" s="224"/>
      <c r="D47" s="224"/>
      <c r="E47" s="224"/>
      <c r="F47" s="224"/>
      <c r="G47" s="224"/>
      <c r="H47" s="224"/>
      <c r="I47" s="224"/>
      <c r="J47" s="224"/>
      <c r="K47" s="224"/>
      <c r="L47" s="224"/>
      <c r="M47" s="224"/>
      <c r="N47" s="224"/>
      <c r="O47" s="224"/>
      <c r="P47" s="224"/>
      <c r="Q47" s="224"/>
      <c r="R47" s="224"/>
      <c r="S47" s="224"/>
      <c r="T47" s="224"/>
      <c r="U47" s="224"/>
      <c r="V47" s="224"/>
      <c r="W47" s="224"/>
      <c r="X47" s="224"/>
      <c r="Y47" s="224"/>
    </row>
    <row r="48" spans="1:98" s="83" customFormat="1" ht="15" x14ac:dyDescent="0.25">
      <c r="A48" s="79"/>
      <c r="B48" s="225" t="s">
        <v>91</v>
      </c>
      <c r="C48" s="226" t="s">
        <v>64</v>
      </c>
      <c r="D48" s="226" t="s">
        <v>65</v>
      </c>
      <c r="E48" s="224"/>
      <c r="F48" s="224"/>
      <c r="G48" s="224" t="s">
        <v>66</v>
      </c>
      <c r="H48" s="226" t="s">
        <v>67</v>
      </c>
      <c r="I48" s="226" t="s">
        <v>68</v>
      </c>
      <c r="J48" s="226" t="s">
        <v>69</v>
      </c>
      <c r="K48" s="224"/>
      <c r="L48" s="266" t="s">
        <v>281</v>
      </c>
      <c r="M48" s="224"/>
      <c r="N48" s="150" t="s">
        <v>162</v>
      </c>
      <c r="O48" s="150" t="s">
        <v>163</v>
      </c>
      <c r="P48" s="150" t="s">
        <v>164</v>
      </c>
      <c r="Q48" s="150" t="s">
        <v>165</v>
      </c>
      <c r="R48" s="150" t="s">
        <v>166</v>
      </c>
      <c r="S48" s="150" t="s">
        <v>167</v>
      </c>
      <c r="T48" s="150" t="s">
        <v>168</v>
      </c>
      <c r="U48" s="150" t="s">
        <v>169</v>
      </c>
      <c r="V48" s="150" t="s">
        <v>170</v>
      </c>
      <c r="W48" s="150" t="s">
        <v>171</v>
      </c>
      <c r="X48" s="150" t="s">
        <v>172</v>
      </c>
      <c r="Y48" s="150" t="s">
        <v>173</v>
      </c>
    </row>
    <row r="49" spans="1:25" s="83" customFormat="1" x14ac:dyDescent="0.2">
      <c r="B49" s="223" t="s">
        <v>95</v>
      </c>
      <c r="C49" s="228">
        <v>28</v>
      </c>
      <c r="D49" s="229"/>
      <c r="E49" s="224" t="s">
        <v>70</v>
      </c>
      <c r="F49" s="230"/>
      <c r="G49" s="224" t="s">
        <v>71</v>
      </c>
      <c r="H49" s="228">
        <v>3</v>
      </c>
      <c r="I49" s="231">
        <v>0.65</v>
      </c>
      <c r="J49" s="232">
        <f>H49*I49</f>
        <v>1.9500000000000002</v>
      </c>
      <c r="K49" s="224"/>
      <c r="L49" s="151">
        <f>AVERAGE(N49:Y49)</f>
        <v>0</v>
      </c>
      <c r="M49" s="152" t="s">
        <v>71</v>
      </c>
      <c r="N49" s="149">
        <v>0</v>
      </c>
      <c r="O49" s="149">
        <v>0</v>
      </c>
      <c r="P49" s="149">
        <v>0</v>
      </c>
      <c r="Q49" s="149">
        <v>0</v>
      </c>
      <c r="R49" s="149">
        <v>0</v>
      </c>
      <c r="S49" s="149">
        <v>0</v>
      </c>
      <c r="T49" s="149">
        <v>0</v>
      </c>
      <c r="U49" s="149">
        <v>0</v>
      </c>
      <c r="V49" s="149">
        <v>0</v>
      </c>
      <c r="W49" s="149">
        <v>0</v>
      </c>
      <c r="X49" s="149">
        <v>0</v>
      </c>
      <c r="Y49" s="149">
        <v>0</v>
      </c>
    </row>
    <row r="50" spans="1:25" s="83" customFormat="1" x14ac:dyDescent="0.2">
      <c r="B50" s="223" t="s">
        <v>96</v>
      </c>
      <c r="C50" s="228">
        <v>270</v>
      </c>
      <c r="D50" s="228">
        <v>270</v>
      </c>
      <c r="E50" s="224" t="s">
        <v>70</v>
      </c>
      <c r="F50" s="230"/>
      <c r="G50" s="224" t="s">
        <v>72</v>
      </c>
      <c r="H50" s="228"/>
      <c r="I50" s="231">
        <v>1</v>
      </c>
      <c r="J50" s="232">
        <f>H50*I50</f>
        <v>0</v>
      </c>
      <c r="K50" s="224"/>
      <c r="L50" s="151">
        <f t="shared" ref="L50:L60" si="4">AVERAGE(N50:Y50)</f>
        <v>0</v>
      </c>
      <c r="M50" s="152" t="s">
        <v>72</v>
      </c>
      <c r="N50" s="149">
        <v>0</v>
      </c>
      <c r="O50" s="149">
        <v>0</v>
      </c>
      <c r="P50" s="149">
        <v>0</v>
      </c>
      <c r="Q50" s="149">
        <v>0</v>
      </c>
      <c r="R50" s="149">
        <v>0</v>
      </c>
      <c r="S50" s="149">
        <v>0</v>
      </c>
      <c r="T50" s="149">
        <v>0</v>
      </c>
      <c r="U50" s="149">
        <v>0</v>
      </c>
      <c r="V50" s="149">
        <v>0</v>
      </c>
      <c r="W50" s="149">
        <v>0</v>
      </c>
      <c r="X50" s="149">
        <v>0</v>
      </c>
      <c r="Y50" s="149">
        <v>0</v>
      </c>
    </row>
    <row r="51" spans="1:25" s="83" customFormat="1" x14ac:dyDescent="0.2">
      <c r="B51" s="223" t="s">
        <v>73</v>
      </c>
      <c r="C51" s="228">
        <v>16</v>
      </c>
      <c r="D51" s="228">
        <v>4</v>
      </c>
      <c r="E51" s="224" t="s">
        <v>70</v>
      </c>
      <c r="F51" s="230"/>
      <c r="G51" s="224" t="s">
        <v>74</v>
      </c>
      <c r="H51" s="228">
        <v>100</v>
      </c>
      <c r="I51" s="231">
        <v>0.81</v>
      </c>
      <c r="J51" s="232">
        <f>H51*I51</f>
        <v>81</v>
      </c>
      <c r="K51" s="224"/>
      <c r="L51" s="151">
        <f t="shared" si="4"/>
        <v>0</v>
      </c>
      <c r="M51" s="152" t="s">
        <v>74</v>
      </c>
      <c r="N51" s="233">
        <v>0</v>
      </c>
      <c r="O51" s="233">
        <v>0</v>
      </c>
      <c r="P51" s="233">
        <v>0</v>
      </c>
      <c r="Q51" s="233">
        <v>0</v>
      </c>
      <c r="R51" s="233">
        <v>0</v>
      </c>
      <c r="S51" s="233">
        <v>0</v>
      </c>
      <c r="T51" s="233">
        <v>0</v>
      </c>
      <c r="U51" s="233">
        <v>0</v>
      </c>
      <c r="V51" s="233">
        <v>0</v>
      </c>
      <c r="W51" s="233">
        <v>0</v>
      </c>
      <c r="X51" s="233">
        <v>0</v>
      </c>
      <c r="Y51" s="233">
        <v>0</v>
      </c>
    </row>
    <row r="52" spans="1:25" s="83" customFormat="1" x14ac:dyDescent="0.2">
      <c r="B52" s="234" t="s">
        <v>75</v>
      </c>
      <c r="C52" s="235">
        <v>4</v>
      </c>
      <c r="D52" s="236"/>
      <c r="E52" s="224"/>
      <c r="F52" s="230"/>
      <c r="G52" s="227" t="s">
        <v>153</v>
      </c>
      <c r="H52" s="233">
        <v>5</v>
      </c>
      <c r="I52" s="237">
        <v>0.8</v>
      </c>
      <c r="J52" s="238">
        <f t="shared" ref="J52:J60" si="5">H52*I52</f>
        <v>4</v>
      </c>
      <c r="K52" s="230"/>
      <c r="L52" s="151">
        <f t="shared" si="4"/>
        <v>5.333333333333333</v>
      </c>
      <c r="M52" s="239" t="s">
        <v>153</v>
      </c>
      <c r="N52" s="149">
        <v>16</v>
      </c>
      <c r="O52" s="149">
        <v>0</v>
      </c>
      <c r="P52" s="149">
        <v>0</v>
      </c>
      <c r="Q52" s="149">
        <v>0</v>
      </c>
      <c r="R52" s="149">
        <v>0</v>
      </c>
      <c r="S52" s="149">
        <v>0</v>
      </c>
      <c r="T52" s="149">
        <v>0</v>
      </c>
      <c r="U52" s="149">
        <v>0</v>
      </c>
      <c r="V52" s="149">
        <v>0</v>
      </c>
      <c r="W52" s="149">
        <v>16</v>
      </c>
      <c r="X52" s="149">
        <v>16</v>
      </c>
      <c r="Y52" s="149">
        <v>16</v>
      </c>
    </row>
    <row r="53" spans="1:25" s="83" customFormat="1" x14ac:dyDescent="0.2">
      <c r="B53" s="223" t="s">
        <v>76</v>
      </c>
      <c r="C53" s="230">
        <f>SUM(C49:C52)</f>
        <v>318</v>
      </c>
      <c r="D53" s="230"/>
      <c r="E53" s="224" t="s">
        <v>70</v>
      </c>
      <c r="F53" s="230"/>
      <c r="G53" s="227" t="s">
        <v>154</v>
      </c>
      <c r="H53" s="233">
        <v>8</v>
      </c>
      <c r="I53" s="237">
        <v>0.65</v>
      </c>
      <c r="J53" s="238">
        <f t="shared" si="5"/>
        <v>5.2</v>
      </c>
      <c r="K53" s="230"/>
      <c r="L53" s="151">
        <f t="shared" si="4"/>
        <v>8</v>
      </c>
      <c r="M53" s="239" t="s">
        <v>154</v>
      </c>
      <c r="N53" s="149">
        <v>0</v>
      </c>
      <c r="O53" s="149">
        <v>0</v>
      </c>
      <c r="P53" s="149">
        <v>0</v>
      </c>
      <c r="Q53" s="149">
        <v>16</v>
      </c>
      <c r="R53" s="149">
        <v>16</v>
      </c>
      <c r="S53" s="149">
        <v>16</v>
      </c>
      <c r="T53" s="149">
        <v>16</v>
      </c>
      <c r="U53" s="149">
        <v>16</v>
      </c>
      <c r="V53" s="149">
        <v>16</v>
      </c>
      <c r="W53" s="149">
        <v>0</v>
      </c>
      <c r="X53" s="149">
        <v>0</v>
      </c>
      <c r="Y53" s="149">
        <v>0</v>
      </c>
    </row>
    <row r="54" spans="1:25" s="83" customFormat="1" x14ac:dyDescent="0.2">
      <c r="B54" s="240" t="s">
        <v>92</v>
      </c>
      <c r="C54" s="230"/>
      <c r="D54" s="230"/>
      <c r="E54" s="224"/>
      <c r="F54" s="230"/>
      <c r="G54" s="227" t="s">
        <v>156</v>
      </c>
      <c r="H54" s="233"/>
      <c r="I54" s="237">
        <v>0.8</v>
      </c>
      <c r="J54" s="238">
        <f t="shared" si="5"/>
        <v>0</v>
      </c>
      <c r="K54" s="230"/>
      <c r="L54" s="151">
        <f t="shared" si="4"/>
        <v>0</v>
      </c>
      <c r="M54" s="239" t="s">
        <v>156</v>
      </c>
      <c r="N54" s="149">
        <v>0</v>
      </c>
      <c r="O54" s="149">
        <v>0</v>
      </c>
      <c r="P54" s="149">
        <v>0</v>
      </c>
      <c r="Q54" s="149">
        <v>0</v>
      </c>
      <c r="R54" s="149">
        <v>0</v>
      </c>
      <c r="S54" s="149">
        <v>0</v>
      </c>
      <c r="T54" s="149">
        <v>0</v>
      </c>
      <c r="U54" s="149">
        <v>0</v>
      </c>
      <c r="V54" s="149">
        <v>0</v>
      </c>
      <c r="W54" s="149">
        <v>0</v>
      </c>
      <c r="X54" s="149">
        <v>0</v>
      </c>
      <c r="Y54" s="149">
        <v>0</v>
      </c>
    </row>
    <row r="55" spans="1:25" s="83" customFormat="1" x14ac:dyDescent="0.2">
      <c r="B55" s="223" t="s">
        <v>93</v>
      </c>
      <c r="C55" s="233">
        <v>30</v>
      </c>
      <c r="D55" s="233">
        <v>27</v>
      </c>
      <c r="E55" s="224" t="s">
        <v>70</v>
      </c>
      <c r="F55" s="241"/>
      <c r="G55" s="227" t="s">
        <v>155</v>
      </c>
      <c r="H55" s="233">
        <v>22</v>
      </c>
      <c r="I55" s="237">
        <v>0.65</v>
      </c>
      <c r="J55" s="238">
        <f t="shared" si="5"/>
        <v>14.3</v>
      </c>
      <c r="K55" s="230"/>
      <c r="L55" s="151">
        <f t="shared" si="4"/>
        <v>21.5</v>
      </c>
      <c r="M55" s="239" t="s">
        <v>155</v>
      </c>
      <c r="N55" s="149">
        <v>43</v>
      </c>
      <c r="O55" s="149">
        <v>43</v>
      </c>
      <c r="P55" s="149">
        <v>43</v>
      </c>
      <c r="Q55" s="149">
        <v>43</v>
      </c>
      <c r="R55" s="149">
        <v>43</v>
      </c>
      <c r="S55" s="149">
        <v>43</v>
      </c>
      <c r="T55" s="149">
        <v>0</v>
      </c>
      <c r="U55" s="149">
        <v>0</v>
      </c>
      <c r="V55" s="149">
        <v>0</v>
      </c>
      <c r="W55" s="149">
        <v>0</v>
      </c>
      <c r="X55" s="149">
        <v>0</v>
      </c>
      <c r="Y55" s="149">
        <v>0</v>
      </c>
    </row>
    <row r="56" spans="1:25" s="83" customFormat="1" x14ac:dyDescent="0.2">
      <c r="B56" s="223" t="s">
        <v>94</v>
      </c>
      <c r="C56" s="233">
        <v>20</v>
      </c>
      <c r="D56" s="233">
        <v>5</v>
      </c>
      <c r="E56" s="224" t="s">
        <v>70</v>
      </c>
      <c r="F56" s="242"/>
      <c r="G56" s="227" t="s">
        <v>157</v>
      </c>
      <c r="H56" s="233">
        <v>43</v>
      </c>
      <c r="I56" s="237">
        <v>0.34</v>
      </c>
      <c r="J56" s="238">
        <f t="shared" si="5"/>
        <v>14.620000000000001</v>
      </c>
      <c r="K56" s="230"/>
      <c r="L56" s="151">
        <f t="shared" si="4"/>
        <v>0</v>
      </c>
      <c r="M56" s="239" t="s">
        <v>157</v>
      </c>
      <c r="N56" s="149">
        <v>0</v>
      </c>
      <c r="O56" s="149">
        <v>0</v>
      </c>
      <c r="P56" s="149">
        <v>0</v>
      </c>
      <c r="Q56" s="149">
        <v>0</v>
      </c>
      <c r="R56" s="149">
        <v>0</v>
      </c>
      <c r="S56" s="149">
        <v>0</v>
      </c>
      <c r="T56" s="149">
        <v>0</v>
      </c>
      <c r="U56" s="149">
        <v>0</v>
      </c>
      <c r="V56" s="149">
        <v>0</v>
      </c>
      <c r="W56" s="149">
        <v>0</v>
      </c>
      <c r="X56" s="149">
        <v>0</v>
      </c>
      <c r="Y56" s="149">
        <v>0</v>
      </c>
    </row>
    <row r="57" spans="1:25" s="83" customFormat="1" ht="15" x14ac:dyDescent="0.25">
      <c r="B57" s="225" t="s">
        <v>77</v>
      </c>
      <c r="C57" s="243"/>
      <c r="D57" s="243">
        <f>SUM(D50:D56)</f>
        <v>306</v>
      </c>
      <c r="E57" s="243" t="s">
        <v>70</v>
      </c>
      <c r="F57" s="230"/>
      <c r="G57" s="227" t="s">
        <v>158</v>
      </c>
      <c r="H57" s="233"/>
      <c r="I57" s="237">
        <v>0.8</v>
      </c>
      <c r="J57" s="238">
        <f t="shared" si="5"/>
        <v>0</v>
      </c>
      <c r="K57" s="230"/>
      <c r="L57" s="151">
        <f t="shared" si="4"/>
        <v>0</v>
      </c>
      <c r="M57" s="239" t="s">
        <v>158</v>
      </c>
      <c r="N57" s="149">
        <v>0</v>
      </c>
      <c r="O57" s="149">
        <v>0</v>
      </c>
      <c r="P57" s="149">
        <v>0</v>
      </c>
      <c r="Q57" s="149">
        <v>0</v>
      </c>
      <c r="R57" s="149">
        <v>0</v>
      </c>
      <c r="S57" s="149">
        <v>0</v>
      </c>
      <c r="T57" s="149">
        <v>0</v>
      </c>
      <c r="U57" s="149">
        <v>0</v>
      </c>
      <c r="V57" s="149">
        <v>0</v>
      </c>
      <c r="W57" s="149">
        <v>0</v>
      </c>
      <c r="X57" s="149">
        <v>0</v>
      </c>
      <c r="Y57" s="149">
        <v>0</v>
      </c>
    </row>
    <row r="58" spans="1:25" s="83" customFormat="1" x14ac:dyDescent="0.2">
      <c r="B58" s="223"/>
      <c r="C58" s="230"/>
      <c r="D58" s="230"/>
      <c r="E58" s="238"/>
      <c r="F58" s="230"/>
      <c r="G58" s="227" t="s">
        <v>159</v>
      </c>
      <c r="H58" s="233">
        <v>29</v>
      </c>
      <c r="I58" s="237">
        <v>0.65</v>
      </c>
      <c r="J58" s="238">
        <f t="shared" si="5"/>
        <v>18.850000000000001</v>
      </c>
      <c r="K58" s="230"/>
      <c r="L58" s="151">
        <f t="shared" si="4"/>
        <v>28.666666666666668</v>
      </c>
      <c r="M58" s="239" t="s">
        <v>159</v>
      </c>
      <c r="N58" s="149">
        <v>43</v>
      </c>
      <c r="O58" s="149">
        <v>43</v>
      </c>
      <c r="P58" s="149">
        <v>43</v>
      </c>
      <c r="Q58" s="149">
        <v>43</v>
      </c>
      <c r="R58" s="149">
        <v>43</v>
      </c>
      <c r="S58" s="149">
        <v>43</v>
      </c>
      <c r="T58" s="149">
        <v>43</v>
      </c>
      <c r="U58" s="149">
        <v>43</v>
      </c>
      <c r="V58" s="149">
        <v>0</v>
      </c>
      <c r="W58" s="149">
        <v>0</v>
      </c>
      <c r="X58" s="149">
        <v>0</v>
      </c>
      <c r="Y58" s="149">
        <v>0</v>
      </c>
    </row>
    <row r="59" spans="1:25" s="78" customFormat="1" ht="15" x14ac:dyDescent="0.25">
      <c r="A59" s="83"/>
      <c r="B59" s="223" t="s">
        <v>78</v>
      </c>
      <c r="C59" s="230"/>
      <c r="D59" s="230"/>
      <c r="E59" s="238"/>
      <c r="F59" s="230"/>
      <c r="G59" s="227" t="s">
        <v>160</v>
      </c>
      <c r="H59" s="233"/>
      <c r="I59" s="237">
        <v>0.65</v>
      </c>
      <c r="J59" s="238">
        <f t="shared" si="5"/>
        <v>0</v>
      </c>
      <c r="K59" s="230"/>
      <c r="L59" s="151">
        <f t="shared" si="4"/>
        <v>0</v>
      </c>
      <c r="M59" s="239" t="s">
        <v>160</v>
      </c>
      <c r="N59" s="149">
        <v>0</v>
      </c>
      <c r="O59" s="149">
        <v>0</v>
      </c>
      <c r="P59" s="149">
        <v>0</v>
      </c>
      <c r="Q59" s="149">
        <v>0</v>
      </c>
      <c r="R59" s="149">
        <v>0</v>
      </c>
      <c r="S59" s="149">
        <v>0</v>
      </c>
      <c r="T59" s="149">
        <v>0</v>
      </c>
      <c r="U59" s="149">
        <v>0</v>
      </c>
      <c r="V59" s="149">
        <v>0</v>
      </c>
      <c r="W59" s="149">
        <v>0</v>
      </c>
      <c r="X59" s="149">
        <v>0</v>
      </c>
      <c r="Y59" s="149">
        <v>0</v>
      </c>
    </row>
    <row r="60" spans="1:25" s="83" customFormat="1" x14ac:dyDescent="0.2">
      <c r="B60" s="244" t="s">
        <v>79</v>
      </c>
      <c r="C60" s="230"/>
      <c r="D60" s="245">
        <f>$D$57*J68</f>
        <v>146.46072844400399</v>
      </c>
      <c r="E60" s="238" t="s">
        <v>70</v>
      </c>
      <c r="F60" s="230"/>
      <c r="G60" s="227" t="s">
        <v>161</v>
      </c>
      <c r="H60" s="233">
        <v>43</v>
      </c>
      <c r="I60" s="237">
        <v>0.34</v>
      </c>
      <c r="J60" s="238">
        <f t="shared" si="5"/>
        <v>14.620000000000001</v>
      </c>
      <c r="K60" s="230"/>
      <c r="L60" s="151">
        <f t="shared" si="4"/>
        <v>0</v>
      </c>
      <c r="M60" s="239" t="s">
        <v>161</v>
      </c>
      <c r="N60" s="149">
        <v>0</v>
      </c>
      <c r="O60" s="149">
        <v>0</v>
      </c>
      <c r="P60" s="149">
        <v>0</v>
      </c>
      <c r="Q60" s="149">
        <v>0</v>
      </c>
      <c r="R60" s="149">
        <v>0</v>
      </c>
      <c r="S60" s="149">
        <v>0</v>
      </c>
      <c r="T60" s="149">
        <v>0</v>
      </c>
      <c r="U60" s="149">
        <v>0</v>
      </c>
      <c r="V60" s="149">
        <v>0</v>
      </c>
      <c r="W60" s="149">
        <v>0</v>
      </c>
      <c r="X60" s="149">
        <v>0</v>
      </c>
      <c r="Y60" s="149">
        <v>0</v>
      </c>
    </row>
    <row r="61" spans="1:25" s="83" customFormat="1" ht="15" x14ac:dyDescent="0.25">
      <c r="B61" s="244" t="s">
        <v>80</v>
      </c>
      <c r="C61" s="230"/>
      <c r="D61" s="245">
        <f>$D$57*J69</f>
        <v>159.53927155599604</v>
      </c>
      <c r="E61" s="238" t="s">
        <v>70</v>
      </c>
      <c r="F61" s="230"/>
      <c r="G61" s="243" t="s">
        <v>81</v>
      </c>
      <c r="H61" s="246"/>
      <c r="I61" s="246"/>
      <c r="J61" s="247">
        <f>SUM(J47:J60)</f>
        <v>154.54000000000002</v>
      </c>
      <c r="K61" s="243" t="s">
        <v>69</v>
      </c>
      <c r="L61" s="151"/>
      <c r="M61" s="152"/>
      <c r="N61" s="149"/>
      <c r="O61" s="149"/>
      <c r="P61" s="149"/>
      <c r="Q61" s="149"/>
      <c r="R61" s="149"/>
      <c r="S61" s="149"/>
      <c r="T61" s="149"/>
      <c r="U61" s="149"/>
      <c r="V61" s="149"/>
      <c r="W61" s="149"/>
      <c r="X61" s="149"/>
      <c r="Y61" s="149"/>
    </row>
    <row r="62" spans="1:25" s="83" customFormat="1" x14ac:dyDescent="0.2">
      <c r="B62" s="248"/>
      <c r="C62" s="230"/>
      <c r="D62" s="230"/>
      <c r="E62" s="238"/>
      <c r="F62" s="230"/>
      <c r="G62" s="224" t="s">
        <v>38</v>
      </c>
      <c r="H62" s="233">
        <v>22</v>
      </c>
      <c r="I62" s="237">
        <v>0.08</v>
      </c>
      <c r="J62" s="238">
        <f t="shared" ref="J62:J64" si="6">H62*I62</f>
        <v>1.76</v>
      </c>
      <c r="K62" s="230"/>
      <c r="L62" s="151">
        <f t="shared" ref="L62:L65" si="7">AVERAGE(N62:Y62)</f>
        <v>0</v>
      </c>
      <c r="M62" s="249" t="s">
        <v>38</v>
      </c>
      <c r="N62" s="149">
        <v>0</v>
      </c>
      <c r="O62" s="149">
        <v>0</v>
      </c>
      <c r="P62" s="149">
        <v>0</v>
      </c>
      <c r="Q62" s="149">
        <v>0</v>
      </c>
      <c r="R62" s="149">
        <v>0</v>
      </c>
      <c r="S62" s="149">
        <v>0</v>
      </c>
      <c r="T62" s="149">
        <v>0</v>
      </c>
      <c r="U62" s="149">
        <v>0</v>
      </c>
      <c r="V62" s="149">
        <v>0</v>
      </c>
      <c r="W62" s="149">
        <v>0</v>
      </c>
      <c r="X62" s="149">
        <v>0</v>
      </c>
      <c r="Y62" s="149">
        <v>0</v>
      </c>
    </row>
    <row r="63" spans="1:25" s="83" customFormat="1" ht="15" x14ac:dyDescent="0.25">
      <c r="A63" s="78"/>
      <c r="B63" s="225"/>
      <c r="C63" s="243"/>
      <c r="D63" s="243"/>
      <c r="E63" s="247"/>
      <c r="F63" s="243"/>
      <c r="G63" s="224" t="s">
        <v>48</v>
      </c>
      <c r="H63" s="233">
        <v>1000</v>
      </c>
      <c r="I63" s="237">
        <v>0.11</v>
      </c>
      <c r="J63" s="238">
        <f t="shared" si="6"/>
        <v>110</v>
      </c>
      <c r="K63" s="230"/>
      <c r="L63" s="151">
        <f t="shared" si="7"/>
        <v>0</v>
      </c>
      <c r="M63" s="249" t="s">
        <v>48</v>
      </c>
      <c r="N63" s="149">
        <v>0</v>
      </c>
      <c r="O63" s="149">
        <v>0</v>
      </c>
      <c r="P63" s="149">
        <v>0</v>
      </c>
      <c r="Q63" s="149">
        <v>0</v>
      </c>
      <c r="R63" s="149">
        <v>0</v>
      </c>
      <c r="S63" s="149">
        <v>0</v>
      </c>
      <c r="T63" s="149">
        <v>0</v>
      </c>
      <c r="U63" s="149">
        <v>0</v>
      </c>
      <c r="V63" s="149">
        <v>0</v>
      </c>
      <c r="W63" s="149">
        <v>0</v>
      </c>
      <c r="X63" s="149">
        <v>0</v>
      </c>
      <c r="Y63" s="149">
        <v>0</v>
      </c>
    </row>
    <row r="64" spans="1:25" s="78" customFormat="1" ht="15" x14ac:dyDescent="0.25">
      <c r="A64" s="83"/>
      <c r="B64" s="225"/>
      <c r="C64" s="230"/>
      <c r="D64" s="230"/>
      <c r="E64" s="238"/>
      <c r="F64" s="230"/>
      <c r="G64" s="224" t="s">
        <v>83</v>
      </c>
      <c r="H64" s="233">
        <v>260</v>
      </c>
      <c r="I64" s="237">
        <v>0.06</v>
      </c>
      <c r="J64" s="238">
        <f t="shared" si="6"/>
        <v>15.6</v>
      </c>
      <c r="K64" s="230"/>
      <c r="L64" s="151">
        <f t="shared" si="7"/>
        <v>260</v>
      </c>
      <c r="M64" s="249" t="s">
        <v>83</v>
      </c>
      <c r="N64" s="149">
        <v>260</v>
      </c>
      <c r="O64" s="149">
        <v>260</v>
      </c>
      <c r="P64" s="149">
        <v>260</v>
      </c>
      <c r="Q64" s="149">
        <v>260</v>
      </c>
      <c r="R64" s="149">
        <v>260</v>
      </c>
      <c r="S64" s="149">
        <v>260</v>
      </c>
      <c r="T64" s="149">
        <v>260</v>
      </c>
      <c r="U64" s="149">
        <v>260</v>
      </c>
      <c r="V64" s="149">
        <v>260</v>
      </c>
      <c r="W64" s="149">
        <v>260</v>
      </c>
      <c r="X64" s="149">
        <v>260</v>
      </c>
      <c r="Y64" s="149">
        <v>260</v>
      </c>
    </row>
    <row r="65" spans="1:25" s="83" customFormat="1" ht="15" x14ac:dyDescent="0.25">
      <c r="B65" s="225" t="s">
        <v>82</v>
      </c>
      <c r="C65" s="230"/>
      <c r="D65" s="230"/>
      <c r="E65" s="238"/>
      <c r="F65" s="230"/>
      <c r="G65" s="224" t="s">
        <v>85</v>
      </c>
      <c r="H65" s="233">
        <v>683</v>
      </c>
      <c r="I65" s="237">
        <v>0.06</v>
      </c>
      <c r="J65" s="238">
        <f>H65*I65</f>
        <v>40.98</v>
      </c>
      <c r="K65" s="230"/>
      <c r="L65" s="151">
        <f t="shared" si="7"/>
        <v>683.33333333333337</v>
      </c>
      <c r="M65" s="249" t="s">
        <v>85</v>
      </c>
      <c r="N65" s="149">
        <v>1000</v>
      </c>
      <c r="O65" s="149">
        <v>1500</v>
      </c>
      <c r="P65" s="149">
        <v>1500</v>
      </c>
      <c r="Q65" s="149">
        <v>1500</v>
      </c>
      <c r="R65" s="149">
        <v>1200</v>
      </c>
      <c r="S65" s="149">
        <v>900</v>
      </c>
      <c r="T65" s="149">
        <v>500</v>
      </c>
      <c r="U65" s="149">
        <v>100</v>
      </c>
      <c r="V65" s="149">
        <v>0</v>
      </c>
      <c r="W65" s="149">
        <v>0</v>
      </c>
      <c r="X65" s="149">
        <v>0</v>
      </c>
      <c r="Y65" s="149">
        <v>0</v>
      </c>
    </row>
    <row r="66" spans="1:25" s="78" customFormat="1" ht="15" x14ac:dyDescent="0.25">
      <c r="A66" s="83"/>
      <c r="B66" s="223"/>
      <c r="C66" s="230"/>
      <c r="D66" s="230"/>
      <c r="E66" s="238"/>
      <c r="F66" s="230"/>
      <c r="G66" s="243" t="s">
        <v>87</v>
      </c>
      <c r="H66" s="243"/>
      <c r="I66" s="243"/>
      <c r="J66" s="247">
        <f>SUM(J62:J65)</f>
        <v>168.34</v>
      </c>
      <c r="K66" s="243" t="s">
        <v>69</v>
      </c>
      <c r="L66" s="146"/>
      <c r="M66" s="146"/>
      <c r="N66" s="147"/>
      <c r="O66" s="147"/>
      <c r="P66" s="147"/>
      <c r="Q66" s="147"/>
      <c r="R66" s="147"/>
      <c r="S66" s="147"/>
      <c r="T66" s="147"/>
      <c r="U66" s="147"/>
      <c r="V66" s="147"/>
      <c r="W66" s="147"/>
      <c r="X66" s="147"/>
      <c r="Y66" s="147"/>
    </row>
    <row r="67" spans="1:25" s="78" customFormat="1" ht="15" x14ac:dyDescent="0.25">
      <c r="A67" s="83"/>
      <c r="B67" s="223" t="s">
        <v>84</v>
      </c>
      <c r="C67" s="232">
        <f>J67</f>
        <v>322.88</v>
      </c>
      <c r="D67" s="243"/>
      <c r="E67" s="238"/>
      <c r="F67" s="230"/>
      <c r="G67" s="243" t="s">
        <v>84</v>
      </c>
      <c r="H67" s="243"/>
      <c r="I67" s="243"/>
      <c r="J67" s="247">
        <f>J61+J66</f>
        <v>322.88</v>
      </c>
      <c r="K67" s="243" t="s">
        <v>69</v>
      </c>
      <c r="L67" s="146"/>
      <c r="M67" s="146"/>
      <c r="N67" s="147"/>
      <c r="O67" s="147"/>
      <c r="P67" s="147"/>
      <c r="Q67" s="147"/>
      <c r="R67" s="147"/>
      <c r="S67" s="147"/>
      <c r="T67" s="147"/>
      <c r="U67" s="147"/>
      <c r="V67" s="147"/>
      <c r="W67" s="147"/>
      <c r="X67" s="147"/>
      <c r="Y67" s="147"/>
    </row>
    <row r="68" spans="1:25" s="78" customFormat="1" ht="15" x14ac:dyDescent="0.25">
      <c r="B68" s="223" t="s">
        <v>86</v>
      </c>
      <c r="C68" s="224">
        <f>D57</f>
        <v>306</v>
      </c>
      <c r="D68" s="230"/>
      <c r="E68" s="247"/>
      <c r="F68" s="243"/>
      <c r="G68" s="243" t="s">
        <v>90</v>
      </c>
      <c r="H68" s="243"/>
      <c r="I68" s="243" t="s">
        <v>17</v>
      </c>
      <c r="J68" s="250">
        <f>J61/J67</f>
        <v>0.47862983151635291</v>
      </c>
      <c r="K68" s="243"/>
      <c r="L68" s="243"/>
      <c r="M68" s="243"/>
      <c r="N68" s="243"/>
      <c r="O68" s="243"/>
      <c r="P68" s="243"/>
      <c r="Q68" s="243"/>
      <c r="R68" s="243"/>
      <c r="S68" s="243"/>
      <c r="T68" s="243"/>
      <c r="U68" s="243"/>
      <c r="V68" s="243"/>
      <c r="W68" s="243"/>
      <c r="X68" s="243"/>
      <c r="Y68" s="243"/>
    </row>
    <row r="69" spans="1:25" s="83" customFormat="1" ht="15.75" thickBot="1" x14ac:dyDescent="0.3">
      <c r="A69" s="78"/>
      <c r="B69" s="251" t="s">
        <v>88</v>
      </c>
      <c r="C69" s="252">
        <f>C67/C68</f>
        <v>1.0551633986928104</v>
      </c>
      <c r="D69" s="253" t="s">
        <v>89</v>
      </c>
      <c r="E69" s="254"/>
      <c r="F69" s="253"/>
      <c r="G69" s="253"/>
      <c r="H69" s="253"/>
      <c r="I69" s="253" t="s">
        <v>2</v>
      </c>
      <c r="J69" s="255">
        <f>J66/J67</f>
        <v>0.52137016848364715</v>
      </c>
      <c r="K69" s="253"/>
      <c r="L69" s="253"/>
      <c r="M69" s="253"/>
      <c r="N69" s="253"/>
      <c r="O69" s="253"/>
      <c r="P69" s="253"/>
      <c r="Q69" s="253"/>
      <c r="R69" s="253"/>
      <c r="S69" s="253"/>
      <c r="T69" s="253"/>
      <c r="U69" s="253"/>
      <c r="V69" s="253"/>
      <c r="W69" s="253"/>
      <c r="X69" s="253"/>
      <c r="Y69" s="253"/>
    </row>
    <row r="70" spans="1:25" ht="15" x14ac:dyDescent="0.25">
      <c r="B70" s="78"/>
      <c r="C70" s="83"/>
      <c r="D70" s="83"/>
      <c r="E70" s="84"/>
      <c r="F70" s="83"/>
      <c r="G70" s="78"/>
      <c r="H70" s="78"/>
      <c r="I70" s="78"/>
      <c r="J70" s="85"/>
      <c r="K70" s="78"/>
      <c r="L70" s="83"/>
      <c r="M70" s="83"/>
      <c r="N70" s="83"/>
      <c r="O70" s="83"/>
      <c r="P70" s="83"/>
      <c r="Q70" s="83"/>
      <c r="R70" s="83"/>
      <c r="S70" s="83"/>
      <c r="T70" s="83"/>
      <c r="U70" s="83"/>
      <c r="V70" s="83"/>
      <c r="W70" s="83"/>
      <c r="X70" s="83"/>
      <c r="Y70" s="83"/>
    </row>
  </sheetData>
  <sheetProtection password="CF09" sheet="1" objects="1" scenarios="1"/>
  <pageMargins left="0.70866141732283472" right="0.70866141732283472" top="0.74803149606299213" bottom="0.74803149606299213" header="0.31496062992125984" footer="0.31496062992125984"/>
  <pageSetup paperSize="9" scale="95"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zoomScale="110" zoomScaleNormal="110" workbookViewId="0">
      <selection activeCell="F26" sqref="F26"/>
    </sheetView>
  </sheetViews>
  <sheetFormatPr defaultColWidth="9.140625" defaultRowHeight="15" x14ac:dyDescent="0.25"/>
  <cols>
    <col min="1" max="1" width="47.140625" style="91" bestFit="1" customWidth="1"/>
    <col min="2" max="2" width="15.7109375" style="91" bestFit="1" customWidth="1"/>
    <col min="3" max="3" width="10.42578125" style="91" bestFit="1" customWidth="1"/>
    <col min="4" max="4" width="10.42578125" style="91" customWidth="1"/>
    <col min="5" max="5" width="11.42578125" style="91" customWidth="1"/>
    <col min="6" max="6" width="12.140625" style="91" bestFit="1" customWidth="1"/>
    <col min="7" max="7" width="10.42578125" style="91" customWidth="1"/>
    <col min="8" max="8" width="10.42578125" style="92" customWidth="1"/>
    <col min="9" max="9" width="2.5703125" style="91" customWidth="1"/>
    <col min="10" max="16384" width="9.140625" style="91"/>
  </cols>
  <sheetData>
    <row r="1" spans="1:8" s="138" customFormat="1" ht="18" x14ac:dyDescent="0.25">
      <c r="A1" s="138">
        <f>'Farm ID'!B3</f>
        <v>0</v>
      </c>
      <c r="C1" s="77" t="s">
        <v>142</v>
      </c>
      <c r="E1" s="139"/>
      <c r="F1" s="139">
        <f>'Farm ID'!B11</f>
        <v>0</v>
      </c>
    </row>
    <row r="2" spans="1:8" s="137" customFormat="1" ht="18" x14ac:dyDescent="0.25">
      <c r="A2" s="138" t="s">
        <v>2</v>
      </c>
      <c r="H2" s="138"/>
    </row>
    <row r="3" spans="1:8" x14ac:dyDescent="0.25">
      <c r="A3" s="92"/>
    </row>
    <row r="4" spans="1:8" x14ac:dyDescent="0.25">
      <c r="A4" s="101" t="s">
        <v>7</v>
      </c>
      <c r="B4" s="106" t="s">
        <v>115</v>
      </c>
      <c r="C4" s="106" t="s">
        <v>116</v>
      </c>
      <c r="D4" s="106" t="s">
        <v>5</v>
      </c>
      <c r="E4" s="106" t="s">
        <v>5</v>
      </c>
      <c r="F4" s="106" t="s">
        <v>5</v>
      </c>
      <c r="G4" s="106" t="s">
        <v>38</v>
      </c>
      <c r="H4" s="107" t="s">
        <v>6</v>
      </c>
    </row>
    <row r="5" spans="1:8" x14ac:dyDescent="0.25">
      <c r="A5" s="101"/>
      <c r="B5" s="106" t="s">
        <v>118</v>
      </c>
      <c r="C5" s="106" t="s">
        <v>117</v>
      </c>
      <c r="D5" s="106" t="s">
        <v>99</v>
      </c>
      <c r="E5" s="106" t="s">
        <v>101</v>
      </c>
      <c r="F5" s="106" t="s">
        <v>100</v>
      </c>
      <c r="G5" s="106"/>
      <c r="H5" s="107"/>
    </row>
    <row r="6" spans="1:8" x14ac:dyDescent="0.25">
      <c r="A6" s="93" t="s">
        <v>106</v>
      </c>
      <c r="B6" s="143"/>
      <c r="C6" s="143"/>
      <c r="D6" s="143"/>
      <c r="E6" s="143"/>
      <c r="F6" s="143"/>
      <c r="G6" s="143"/>
      <c r="H6" s="108"/>
    </row>
    <row r="7" spans="1:8" x14ac:dyDescent="0.25">
      <c r="A7" s="93" t="s">
        <v>108</v>
      </c>
      <c r="B7" s="143"/>
      <c r="C7" s="143"/>
      <c r="D7" s="143"/>
      <c r="E7" s="143"/>
      <c r="F7" s="143"/>
      <c r="G7" s="143"/>
      <c r="H7" s="100"/>
    </row>
    <row r="8" spans="1:8" x14ac:dyDescent="0.25">
      <c r="A8" s="93" t="s">
        <v>109</v>
      </c>
      <c r="B8" s="94">
        <f>B7*B6</f>
        <v>0</v>
      </c>
      <c r="C8" s="94">
        <f t="shared" ref="C8:G8" si="0">C7*C6</f>
        <v>0</v>
      </c>
      <c r="D8" s="94">
        <f t="shared" si="0"/>
        <v>0</v>
      </c>
      <c r="E8" s="94">
        <f t="shared" si="0"/>
        <v>0</v>
      </c>
      <c r="F8" s="94">
        <f t="shared" si="0"/>
        <v>0</v>
      </c>
      <c r="G8" s="94">
        <f t="shared" si="0"/>
        <v>0</v>
      </c>
      <c r="H8" s="108">
        <f>SUM(B8:G8)</f>
        <v>0</v>
      </c>
    </row>
    <row r="9" spans="1:8" x14ac:dyDescent="0.25">
      <c r="A9" s="101" t="s">
        <v>11</v>
      </c>
      <c r="B9" s="94"/>
      <c r="C9" s="94"/>
      <c r="D9" s="94"/>
      <c r="E9" s="94"/>
      <c r="F9" s="94"/>
      <c r="G9" s="94"/>
      <c r="H9" s="108"/>
    </row>
    <row r="10" spans="1:8" x14ac:dyDescent="0.25">
      <c r="A10" s="93" t="s">
        <v>56</v>
      </c>
      <c r="B10" s="143"/>
      <c r="C10" s="143"/>
      <c r="D10" s="143"/>
      <c r="E10" s="143"/>
      <c r="F10" s="143"/>
      <c r="G10" s="143"/>
      <c r="H10" s="108"/>
    </row>
    <row r="11" spans="1:8" x14ac:dyDescent="0.25">
      <c r="A11" s="93" t="s">
        <v>108</v>
      </c>
      <c r="B11" s="143"/>
      <c r="C11" s="143"/>
      <c r="D11" s="143"/>
      <c r="E11" s="143"/>
      <c r="F11" s="143"/>
      <c r="G11" s="143"/>
      <c r="H11" s="100"/>
    </row>
    <row r="12" spans="1:8" x14ac:dyDescent="0.25">
      <c r="A12" s="93" t="s">
        <v>10</v>
      </c>
      <c r="B12" s="94">
        <f>B11*B10</f>
        <v>0</v>
      </c>
      <c r="C12" s="94">
        <f t="shared" ref="C12" si="1">C11*C10</f>
        <v>0</v>
      </c>
      <c r="D12" s="94">
        <f t="shared" ref="D12:G12" si="2">D11*D10</f>
        <v>0</v>
      </c>
      <c r="E12" s="94">
        <f t="shared" si="2"/>
        <v>0</v>
      </c>
      <c r="F12" s="94">
        <f t="shared" si="2"/>
        <v>0</v>
      </c>
      <c r="G12" s="94">
        <f t="shared" si="2"/>
        <v>0</v>
      </c>
      <c r="H12" s="108">
        <f>SUM(B12:G12)</f>
        <v>0</v>
      </c>
    </row>
    <row r="13" spans="1:8" x14ac:dyDescent="0.25">
      <c r="A13" s="101" t="s">
        <v>13</v>
      </c>
      <c r="B13" s="94"/>
      <c r="C13" s="94"/>
      <c r="D13" s="94"/>
      <c r="E13" s="94"/>
      <c r="F13" s="94"/>
      <c r="G13" s="94"/>
      <c r="H13" s="108"/>
    </row>
    <row r="14" spans="1:8" x14ac:dyDescent="0.25">
      <c r="A14" s="96" t="s">
        <v>41</v>
      </c>
      <c r="B14" s="143"/>
      <c r="C14" s="143"/>
      <c r="D14" s="143"/>
      <c r="E14" s="143"/>
      <c r="F14" s="143"/>
      <c r="G14" s="143"/>
      <c r="H14" s="108"/>
    </row>
    <row r="15" spans="1:8" x14ac:dyDescent="0.25">
      <c r="A15" s="96" t="s">
        <v>108</v>
      </c>
      <c r="B15" s="143"/>
      <c r="C15" s="143"/>
      <c r="D15" s="143"/>
      <c r="E15" s="143"/>
      <c r="F15" s="143"/>
      <c r="G15" s="143"/>
      <c r="H15" s="100"/>
    </row>
    <row r="16" spans="1:8" x14ac:dyDescent="0.25">
      <c r="A16" s="96" t="s">
        <v>14</v>
      </c>
      <c r="B16" s="94">
        <f>B15*B14</f>
        <v>0</v>
      </c>
      <c r="C16" s="94">
        <f t="shared" ref="C16:G16" si="3">C15*C14</f>
        <v>0</v>
      </c>
      <c r="D16" s="94">
        <f t="shared" si="3"/>
        <v>0</v>
      </c>
      <c r="E16" s="94">
        <f t="shared" si="3"/>
        <v>0</v>
      </c>
      <c r="F16" s="94">
        <f t="shared" si="3"/>
        <v>0</v>
      </c>
      <c r="G16" s="94">
        <f t="shared" si="3"/>
        <v>0</v>
      </c>
      <c r="H16" s="108">
        <f>SUM(B16:G16)</f>
        <v>0</v>
      </c>
    </row>
    <row r="17" spans="1:8" x14ac:dyDescent="0.25">
      <c r="A17" s="101" t="s">
        <v>12</v>
      </c>
      <c r="B17" s="94"/>
      <c r="C17" s="94"/>
      <c r="D17" s="94"/>
      <c r="E17" s="94"/>
      <c r="F17" s="94"/>
      <c r="G17" s="94"/>
      <c r="H17" s="108"/>
    </row>
    <row r="18" spans="1:8" x14ac:dyDescent="0.25">
      <c r="A18" s="93" t="s">
        <v>111</v>
      </c>
      <c r="B18" s="143"/>
      <c r="C18" s="143"/>
      <c r="D18" s="143"/>
      <c r="E18" s="143"/>
      <c r="F18" s="143"/>
      <c r="G18" s="143"/>
      <c r="H18" s="108"/>
    </row>
    <row r="19" spans="1:8" x14ac:dyDescent="0.25">
      <c r="A19" s="93" t="s">
        <v>108</v>
      </c>
      <c r="B19" s="143"/>
      <c r="C19" s="143"/>
      <c r="D19" s="143"/>
      <c r="E19" s="143"/>
      <c r="F19" s="143"/>
      <c r="G19" s="143"/>
      <c r="H19" s="100"/>
    </row>
    <row r="20" spans="1:8" x14ac:dyDescent="0.25">
      <c r="A20" s="93" t="s">
        <v>109</v>
      </c>
      <c r="B20" s="94">
        <f>B19*B18</f>
        <v>0</v>
      </c>
      <c r="C20" s="94">
        <f t="shared" ref="C20" si="4">C19*C18</f>
        <v>0</v>
      </c>
      <c r="D20" s="94">
        <f t="shared" ref="D20:G20" si="5">D19*D18</f>
        <v>0</v>
      </c>
      <c r="E20" s="94">
        <f t="shared" si="5"/>
        <v>0</v>
      </c>
      <c r="F20" s="94">
        <f t="shared" si="5"/>
        <v>0</v>
      </c>
      <c r="G20" s="94">
        <f t="shared" si="5"/>
        <v>0</v>
      </c>
      <c r="H20" s="108">
        <f>SUM(B20:G20)</f>
        <v>0</v>
      </c>
    </row>
    <row r="21" spans="1:8" x14ac:dyDescent="0.25">
      <c r="A21" s="93"/>
      <c r="B21" s="102"/>
      <c r="C21" s="102"/>
      <c r="D21" s="102"/>
      <c r="E21" s="102"/>
      <c r="F21" s="102"/>
      <c r="G21" s="102"/>
      <c r="H21" s="105"/>
    </row>
    <row r="22" spans="1:8" x14ac:dyDescent="0.25">
      <c r="A22" s="101" t="s">
        <v>16</v>
      </c>
      <c r="B22" s="94" t="s">
        <v>15</v>
      </c>
      <c r="C22" s="102"/>
      <c r="D22" s="102"/>
      <c r="E22" s="102"/>
      <c r="F22" s="102"/>
      <c r="G22" s="102"/>
      <c r="H22" s="105"/>
    </row>
    <row r="23" spans="1:8" x14ac:dyDescent="0.25">
      <c r="A23" s="93" t="s">
        <v>87</v>
      </c>
      <c r="B23" s="102">
        <f>H8</f>
        <v>0</v>
      </c>
      <c r="C23" s="102"/>
      <c r="D23" s="102"/>
      <c r="E23" s="102"/>
      <c r="F23" s="102"/>
      <c r="G23" s="102"/>
      <c r="H23" s="105"/>
    </row>
    <row r="24" spans="1:8" x14ac:dyDescent="0.25">
      <c r="A24" s="93" t="s">
        <v>112</v>
      </c>
      <c r="B24" s="102">
        <f>H12</f>
        <v>0</v>
      </c>
      <c r="C24" s="102"/>
      <c r="D24" s="102"/>
      <c r="E24" s="102"/>
      <c r="F24" s="102"/>
      <c r="G24" s="102"/>
      <c r="H24" s="105"/>
    </row>
    <row r="25" spans="1:8" x14ac:dyDescent="0.25">
      <c r="A25" s="93" t="s">
        <v>113</v>
      </c>
      <c r="B25" s="102">
        <f>H16</f>
        <v>0</v>
      </c>
      <c r="C25" s="102"/>
      <c r="D25" s="102"/>
      <c r="E25" s="102"/>
      <c r="F25" s="102"/>
      <c r="G25" s="102"/>
      <c r="H25" s="105"/>
    </row>
    <row r="26" spans="1:8" x14ac:dyDescent="0.25">
      <c r="A26" s="93" t="s">
        <v>114</v>
      </c>
      <c r="B26" s="102">
        <f>H20</f>
        <v>0</v>
      </c>
      <c r="C26" s="102"/>
      <c r="D26" s="102"/>
      <c r="E26" s="102"/>
      <c r="F26" s="102"/>
      <c r="G26" s="102"/>
      <c r="H26" s="105"/>
    </row>
    <row r="27" spans="1:8" x14ac:dyDescent="0.25">
      <c r="A27" s="101" t="s">
        <v>110</v>
      </c>
      <c r="B27" s="105">
        <f>(B24+B26)-(B23+B25)</f>
        <v>0</v>
      </c>
      <c r="C27" s="105"/>
      <c r="D27" s="102"/>
      <c r="E27" s="102"/>
      <c r="F27" s="102"/>
      <c r="G27" s="102"/>
      <c r="H27" s="105"/>
    </row>
  </sheetData>
  <sheetProtection password="CF09" sheet="1" objects="1" scenarios="1"/>
  <pageMargins left="0.25" right="0.25"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zoomScale="110" zoomScaleNormal="110" workbookViewId="0">
      <selection activeCell="D16" sqref="D16"/>
    </sheetView>
  </sheetViews>
  <sheetFormatPr defaultColWidth="9.140625" defaultRowHeight="15" x14ac:dyDescent="0.25"/>
  <cols>
    <col min="1" max="1" width="2.5703125" style="93" customWidth="1"/>
    <col min="2" max="2" width="22.140625" style="93" customWidth="1"/>
    <col min="3" max="3" width="23.28515625" style="93" customWidth="1"/>
    <col min="4" max="4" width="14" style="93" bestFit="1" customWidth="1"/>
    <col min="5" max="5" width="12.85546875" style="93" bestFit="1" customWidth="1"/>
    <col min="6" max="8" width="12.85546875" style="93" customWidth="1"/>
    <col min="9" max="9" width="12.85546875" style="93" bestFit="1" customWidth="1"/>
    <col min="10" max="11" width="12.85546875" style="93" customWidth="1"/>
    <col min="12" max="12" width="10.7109375" style="93" customWidth="1"/>
    <col min="13" max="13" width="11.140625" style="101" customWidth="1"/>
    <col min="14" max="16384" width="9.140625" style="93"/>
  </cols>
  <sheetData>
    <row r="1" spans="2:13" s="140" customFormat="1" ht="18" x14ac:dyDescent="0.25">
      <c r="B1" s="140">
        <f>'Farm ID'!B3</f>
        <v>0</v>
      </c>
      <c r="F1" s="77" t="s">
        <v>142</v>
      </c>
      <c r="H1" s="141">
        <f>'Farm ID'!B11</f>
        <v>0</v>
      </c>
    </row>
    <row r="2" spans="2:13" s="140" customFormat="1" ht="18" x14ac:dyDescent="0.25">
      <c r="B2" s="140" t="s">
        <v>17</v>
      </c>
    </row>
    <row r="3" spans="2:13" s="104" customFormat="1" ht="20.25" x14ac:dyDescent="0.3">
      <c r="B3" s="103"/>
      <c r="M3" s="103"/>
    </row>
    <row r="4" spans="2:13" s="101" customFormat="1" x14ac:dyDescent="0.25">
      <c r="B4" s="101" t="s">
        <v>7</v>
      </c>
      <c r="C4" s="107" t="s">
        <v>119</v>
      </c>
      <c r="D4" s="107" t="s">
        <v>122</v>
      </c>
      <c r="E4" s="107" t="s">
        <v>122</v>
      </c>
      <c r="F4" s="107" t="s">
        <v>122</v>
      </c>
      <c r="G4" s="107" t="s">
        <v>125</v>
      </c>
      <c r="H4" s="107" t="s">
        <v>125</v>
      </c>
      <c r="I4" s="107" t="s">
        <v>125</v>
      </c>
      <c r="J4" s="107" t="s">
        <v>51</v>
      </c>
      <c r="K4" s="107" t="s">
        <v>51</v>
      </c>
      <c r="L4" s="107" t="s">
        <v>51</v>
      </c>
      <c r="M4" s="109" t="s">
        <v>19</v>
      </c>
    </row>
    <row r="5" spans="2:13" s="101" customFormat="1" x14ac:dyDescent="0.25">
      <c r="C5" s="107" t="s">
        <v>120</v>
      </c>
      <c r="D5" s="107" t="s">
        <v>121</v>
      </c>
      <c r="E5" s="107" t="s">
        <v>123</v>
      </c>
      <c r="F5" s="107" t="s">
        <v>124</v>
      </c>
      <c r="G5" s="107" t="s">
        <v>121</v>
      </c>
      <c r="H5" s="107" t="s">
        <v>123</v>
      </c>
      <c r="I5" s="107" t="s">
        <v>124</v>
      </c>
      <c r="J5" s="107" t="s">
        <v>123</v>
      </c>
      <c r="K5" s="107" t="s">
        <v>124</v>
      </c>
      <c r="L5" s="107" t="s">
        <v>126</v>
      </c>
      <c r="M5" s="109"/>
    </row>
    <row r="6" spans="2:13" x14ac:dyDescent="0.25">
      <c r="B6" s="93" t="s">
        <v>106</v>
      </c>
      <c r="C6" s="143"/>
      <c r="D6" s="143"/>
      <c r="E6" s="143"/>
      <c r="F6" s="143"/>
      <c r="G6" s="143"/>
      <c r="H6" s="143"/>
      <c r="I6" s="143"/>
      <c r="J6" s="143"/>
      <c r="K6" s="143"/>
      <c r="L6" s="143"/>
      <c r="M6" s="110"/>
    </row>
    <row r="7" spans="2:13" x14ac:dyDescent="0.25">
      <c r="B7" s="93" t="s">
        <v>108</v>
      </c>
      <c r="C7" s="143"/>
      <c r="D7" s="143"/>
      <c r="E7" s="143"/>
      <c r="F7" s="143"/>
      <c r="G7" s="143"/>
      <c r="H7" s="143"/>
      <c r="I7" s="143"/>
      <c r="J7" s="143"/>
      <c r="K7" s="143"/>
      <c r="L7" s="143"/>
      <c r="M7" s="107"/>
    </row>
    <row r="8" spans="2:13" x14ac:dyDescent="0.25">
      <c r="B8" s="93" t="s">
        <v>109</v>
      </c>
      <c r="C8" s="94">
        <f>C6*C7</f>
        <v>0</v>
      </c>
      <c r="D8" s="94">
        <f t="shared" ref="D8:L8" si="0">D6*D7</f>
        <v>0</v>
      </c>
      <c r="E8" s="94">
        <f t="shared" si="0"/>
        <v>0</v>
      </c>
      <c r="F8" s="94">
        <f t="shared" si="0"/>
        <v>0</v>
      </c>
      <c r="G8" s="94">
        <f t="shared" si="0"/>
        <v>0</v>
      </c>
      <c r="H8" s="94">
        <f t="shared" si="0"/>
        <v>0</v>
      </c>
      <c r="I8" s="94">
        <f t="shared" si="0"/>
        <v>0</v>
      </c>
      <c r="J8" s="94">
        <f t="shared" si="0"/>
        <v>0</v>
      </c>
      <c r="K8" s="94">
        <f t="shared" si="0"/>
        <v>0</v>
      </c>
      <c r="L8" s="94">
        <f t="shared" si="0"/>
        <v>0</v>
      </c>
      <c r="M8" s="110">
        <f>SUM(C8:L8)</f>
        <v>0</v>
      </c>
    </row>
    <row r="9" spans="2:13" x14ac:dyDescent="0.25">
      <c r="B9" s="101" t="s">
        <v>11</v>
      </c>
      <c r="C9" s="94"/>
      <c r="D9" s="94"/>
      <c r="E9" s="94"/>
      <c r="F9" s="94"/>
      <c r="G9" s="94"/>
      <c r="H9" s="94"/>
      <c r="I9" s="94"/>
      <c r="J9" s="94"/>
      <c r="K9" s="94"/>
      <c r="L9" s="94"/>
      <c r="M9" s="110"/>
    </row>
    <row r="10" spans="2:13" x14ac:dyDescent="0.25">
      <c r="B10" s="93" t="s">
        <v>107</v>
      </c>
      <c r="C10" s="143"/>
      <c r="D10" s="143"/>
      <c r="E10" s="143"/>
      <c r="F10" s="143"/>
      <c r="G10" s="143"/>
      <c r="H10" s="143"/>
      <c r="I10" s="143"/>
      <c r="J10" s="143"/>
      <c r="K10" s="143"/>
      <c r="L10" s="143"/>
      <c r="M10" s="110"/>
    </row>
    <row r="11" spans="2:13" x14ac:dyDescent="0.25">
      <c r="B11" s="93" t="s">
        <v>127</v>
      </c>
      <c r="C11" s="143"/>
      <c r="D11" s="143"/>
      <c r="E11" s="143"/>
      <c r="F11" s="143"/>
      <c r="G11" s="143"/>
      <c r="H11" s="143"/>
      <c r="I11" s="143"/>
      <c r="J11" s="143"/>
      <c r="K11" s="143"/>
      <c r="L11" s="143"/>
      <c r="M11" s="107"/>
    </row>
    <row r="12" spans="2:13" x14ac:dyDescent="0.25">
      <c r="B12" s="93" t="s">
        <v>10</v>
      </c>
      <c r="C12" s="94">
        <f>C10*C11</f>
        <v>0</v>
      </c>
      <c r="D12" s="94">
        <f t="shared" ref="D12:K12" si="1">D10*D11</f>
        <v>0</v>
      </c>
      <c r="E12" s="94">
        <f t="shared" si="1"/>
        <v>0</v>
      </c>
      <c r="F12" s="94">
        <f t="shared" si="1"/>
        <v>0</v>
      </c>
      <c r="G12" s="94">
        <f t="shared" si="1"/>
        <v>0</v>
      </c>
      <c r="H12" s="94">
        <f t="shared" si="1"/>
        <v>0</v>
      </c>
      <c r="I12" s="94">
        <f t="shared" si="1"/>
        <v>0</v>
      </c>
      <c r="J12" s="94">
        <f t="shared" si="1"/>
        <v>0</v>
      </c>
      <c r="K12" s="94">
        <f t="shared" si="1"/>
        <v>0</v>
      </c>
      <c r="L12" s="94">
        <f>L10*L11</f>
        <v>0</v>
      </c>
      <c r="M12" s="110">
        <f>SUM(C12:L12)</f>
        <v>0</v>
      </c>
    </row>
    <row r="13" spans="2:13" x14ac:dyDescent="0.25">
      <c r="B13" s="101" t="s">
        <v>13</v>
      </c>
      <c r="C13" s="94"/>
      <c r="D13" s="94"/>
      <c r="E13" s="94"/>
      <c r="F13" s="94"/>
      <c r="G13" s="94"/>
      <c r="H13" s="94"/>
      <c r="I13" s="94"/>
      <c r="J13" s="94"/>
      <c r="K13" s="94"/>
      <c r="L13" s="94"/>
      <c r="M13" s="110"/>
    </row>
    <row r="14" spans="2:13" x14ac:dyDescent="0.25">
      <c r="B14" s="93" t="s">
        <v>41</v>
      </c>
      <c r="C14" s="143"/>
      <c r="D14" s="143"/>
      <c r="E14" s="143"/>
      <c r="F14" s="143"/>
      <c r="G14" s="143"/>
      <c r="H14" s="143"/>
      <c r="I14" s="143"/>
      <c r="J14" s="143"/>
      <c r="K14" s="143"/>
      <c r="L14" s="143"/>
      <c r="M14" s="110"/>
    </row>
    <row r="15" spans="2:13" x14ac:dyDescent="0.25">
      <c r="B15" s="93" t="s">
        <v>108</v>
      </c>
      <c r="C15" s="143"/>
      <c r="D15" s="143"/>
      <c r="E15" s="143"/>
      <c r="F15" s="143"/>
      <c r="G15" s="143"/>
      <c r="H15" s="143"/>
      <c r="I15" s="143"/>
      <c r="J15" s="143"/>
      <c r="K15" s="143"/>
      <c r="L15" s="143"/>
      <c r="M15" s="107"/>
    </row>
    <row r="16" spans="2:13" x14ac:dyDescent="0.25">
      <c r="B16" s="93" t="s">
        <v>23</v>
      </c>
      <c r="C16" s="94">
        <f>C15*C14</f>
        <v>0</v>
      </c>
      <c r="D16" s="94">
        <f t="shared" ref="D16:K16" si="2">D15*D14</f>
        <v>0</v>
      </c>
      <c r="E16" s="94">
        <f t="shared" si="2"/>
        <v>0</v>
      </c>
      <c r="F16" s="94">
        <f t="shared" si="2"/>
        <v>0</v>
      </c>
      <c r="G16" s="94">
        <f t="shared" si="2"/>
        <v>0</v>
      </c>
      <c r="H16" s="94">
        <f t="shared" si="2"/>
        <v>0</v>
      </c>
      <c r="I16" s="94">
        <f t="shared" si="2"/>
        <v>0</v>
      </c>
      <c r="J16" s="94">
        <f t="shared" si="2"/>
        <v>0</v>
      </c>
      <c r="K16" s="94">
        <f t="shared" si="2"/>
        <v>0</v>
      </c>
      <c r="L16" s="94">
        <f>L14*L15</f>
        <v>0</v>
      </c>
      <c r="M16" s="110">
        <f>SUM(C16:L16)</f>
        <v>0</v>
      </c>
    </row>
    <row r="17" spans="2:13" x14ac:dyDescent="0.25">
      <c r="B17" s="101" t="s">
        <v>12</v>
      </c>
      <c r="C17" s="94"/>
      <c r="D17" s="94"/>
      <c r="E17" s="94"/>
      <c r="F17" s="94"/>
      <c r="G17" s="94"/>
      <c r="H17" s="94"/>
      <c r="I17" s="94"/>
      <c r="J17" s="94"/>
      <c r="K17" s="94"/>
      <c r="L17" s="94"/>
      <c r="M17" s="110"/>
    </row>
    <row r="18" spans="2:13" x14ac:dyDescent="0.25">
      <c r="B18" s="93" t="s">
        <v>106</v>
      </c>
      <c r="C18" s="143"/>
      <c r="D18" s="143"/>
      <c r="E18" s="143"/>
      <c r="F18" s="143"/>
      <c r="G18" s="143"/>
      <c r="H18" s="143"/>
      <c r="I18" s="143"/>
      <c r="J18" s="143"/>
      <c r="K18" s="143"/>
      <c r="L18" s="143"/>
      <c r="M18" s="110"/>
    </row>
    <row r="19" spans="2:13" x14ac:dyDescent="0.25">
      <c r="B19" s="93" t="s">
        <v>108</v>
      </c>
      <c r="C19" s="143"/>
      <c r="D19" s="143"/>
      <c r="E19" s="143"/>
      <c r="F19" s="143"/>
      <c r="G19" s="143"/>
      <c r="H19" s="143"/>
      <c r="I19" s="143"/>
      <c r="J19" s="143"/>
      <c r="K19" s="143"/>
      <c r="L19" s="143"/>
      <c r="M19" s="107"/>
    </row>
    <row r="20" spans="2:13" x14ac:dyDescent="0.25">
      <c r="B20" s="93" t="s">
        <v>109</v>
      </c>
      <c r="C20" s="94">
        <f>C19*C18</f>
        <v>0</v>
      </c>
      <c r="D20" s="94">
        <f t="shared" ref="D20:K20" si="3">D19*D18</f>
        <v>0</v>
      </c>
      <c r="E20" s="94">
        <f t="shared" si="3"/>
        <v>0</v>
      </c>
      <c r="F20" s="94">
        <f t="shared" si="3"/>
        <v>0</v>
      </c>
      <c r="G20" s="94">
        <f t="shared" si="3"/>
        <v>0</v>
      </c>
      <c r="H20" s="94">
        <f t="shared" si="3"/>
        <v>0</v>
      </c>
      <c r="I20" s="94">
        <f t="shared" si="3"/>
        <v>0</v>
      </c>
      <c r="J20" s="94">
        <f t="shared" si="3"/>
        <v>0</v>
      </c>
      <c r="K20" s="94">
        <f t="shared" si="3"/>
        <v>0</v>
      </c>
      <c r="L20" s="94">
        <f>L18*L19</f>
        <v>0</v>
      </c>
      <c r="M20" s="108">
        <f>SUM(C20:L20)</f>
        <v>0</v>
      </c>
    </row>
    <row r="21" spans="2:13" x14ac:dyDescent="0.25">
      <c r="C21" s="102"/>
      <c r="D21" s="102"/>
      <c r="E21" s="102"/>
      <c r="F21" s="102"/>
      <c r="G21" s="102"/>
      <c r="H21" s="102"/>
      <c r="I21" s="102"/>
      <c r="J21" s="102"/>
      <c r="K21" s="102"/>
      <c r="L21" s="102"/>
      <c r="M21" s="105"/>
    </row>
    <row r="22" spans="2:13" x14ac:dyDescent="0.25">
      <c r="B22" s="101" t="s">
        <v>24</v>
      </c>
      <c r="C22" s="94" t="s">
        <v>15</v>
      </c>
      <c r="D22" s="102"/>
      <c r="E22" s="102"/>
      <c r="F22" s="102"/>
      <c r="G22" s="102"/>
      <c r="H22" s="102"/>
      <c r="I22" s="102"/>
      <c r="J22" s="102"/>
      <c r="K22" s="102"/>
      <c r="L22" s="102"/>
      <c r="M22" s="105"/>
    </row>
    <row r="23" spans="2:13" x14ac:dyDescent="0.25">
      <c r="B23" s="93" t="s">
        <v>105</v>
      </c>
      <c r="C23" s="102">
        <f>M8</f>
        <v>0</v>
      </c>
      <c r="D23" s="102"/>
      <c r="E23" s="102"/>
      <c r="F23" s="102"/>
      <c r="G23" s="102"/>
      <c r="H23" s="102"/>
      <c r="I23" s="102"/>
      <c r="J23" s="102"/>
      <c r="K23" s="102"/>
      <c r="L23" s="102"/>
      <c r="M23" s="105"/>
    </row>
    <row r="24" spans="2:13" x14ac:dyDescent="0.25">
      <c r="B24" s="93" t="s">
        <v>102</v>
      </c>
      <c r="C24" s="102">
        <f>M12</f>
        <v>0</v>
      </c>
      <c r="D24" s="102"/>
      <c r="E24" s="102"/>
      <c r="F24" s="102"/>
      <c r="G24" s="102"/>
      <c r="H24" s="102"/>
      <c r="I24" s="102"/>
      <c r="J24" s="102"/>
      <c r="K24" s="102"/>
      <c r="L24" s="102"/>
      <c r="M24" s="105"/>
    </row>
    <row r="25" spans="2:13" x14ac:dyDescent="0.25">
      <c r="B25" s="93" t="s">
        <v>103</v>
      </c>
      <c r="C25" s="102">
        <f>M16</f>
        <v>0</v>
      </c>
      <c r="D25" s="102"/>
      <c r="E25" s="102"/>
      <c r="F25" s="102"/>
      <c r="G25" s="102"/>
      <c r="H25" s="102"/>
      <c r="I25" s="102"/>
      <c r="J25" s="102"/>
      <c r="K25" s="102"/>
      <c r="L25" s="102"/>
      <c r="M25" s="105"/>
    </row>
    <row r="26" spans="2:13" x14ac:dyDescent="0.25">
      <c r="B26" s="93" t="s">
        <v>104</v>
      </c>
      <c r="C26" s="102">
        <f>M20</f>
        <v>0</v>
      </c>
      <c r="D26" s="102"/>
      <c r="E26" s="102"/>
      <c r="F26" s="102"/>
      <c r="G26" s="102"/>
      <c r="H26" s="102"/>
      <c r="I26" s="102"/>
      <c r="J26" s="102"/>
      <c r="K26" s="102"/>
      <c r="L26" s="102"/>
      <c r="M26" s="105"/>
    </row>
    <row r="27" spans="2:13" s="101" customFormat="1" x14ac:dyDescent="0.25">
      <c r="B27" s="101" t="s">
        <v>110</v>
      </c>
      <c r="C27" s="105">
        <f>(C24+C26)-(C23+C25)</f>
        <v>0</v>
      </c>
      <c r="D27" s="105"/>
      <c r="E27" s="105"/>
      <c r="F27" s="105"/>
      <c r="G27" s="105"/>
      <c r="H27" s="105"/>
      <c r="I27" s="105"/>
      <c r="J27" s="105"/>
      <c r="K27" s="105"/>
      <c r="L27" s="105"/>
      <c r="M27" s="105"/>
    </row>
  </sheetData>
  <sheetProtection password="CF09" sheet="1" objects="1" scenarios="1"/>
  <pageMargins left="0.25" right="0.25" top="0.75" bottom="0.75" header="0.3" footer="0.3"/>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7"/>
  <sheetViews>
    <sheetView zoomScaleNormal="100" workbookViewId="0">
      <selection activeCell="B1" sqref="B1"/>
    </sheetView>
  </sheetViews>
  <sheetFormatPr defaultRowHeight="15" x14ac:dyDescent="0.25"/>
  <cols>
    <col min="1" max="1" width="22" customWidth="1"/>
    <col min="2" max="2" width="20" bestFit="1" customWidth="1"/>
    <col min="3" max="3" width="14" bestFit="1" customWidth="1"/>
    <col min="4" max="5" width="13" bestFit="1" customWidth="1"/>
    <col min="8" max="8" width="18.85546875" bestFit="1" customWidth="1"/>
    <col min="9" max="9" width="20" bestFit="1" customWidth="1"/>
    <col min="10" max="10" width="22" bestFit="1" customWidth="1"/>
    <col min="11" max="11" width="22.85546875" customWidth="1"/>
    <col min="12" max="12" width="15.85546875" customWidth="1"/>
    <col min="13" max="13" width="11" customWidth="1"/>
    <col min="14" max="14" width="10.5703125" customWidth="1"/>
    <col min="15" max="15" width="10.42578125" customWidth="1"/>
  </cols>
  <sheetData>
    <row r="1" spans="1:13" ht="15.75" thickBot="1" x14ac:dyDescent="0.3">
      <c r="A1" t="s">
        <v>0</v>
      </c>
      <c r="B1" s="66" t="e">
        <f>#REF!</f>
        <v>#REF!</v>
      </c>
      <c r="C1" s="5"/>
      <c r="D1" s="5"/>
      <c r="E1" s="5"/>
    </row>
    <row r="2" spans="1:13" ht="15.75" thickBot="1" x14ac:dyDescent="0.3"/>
    <row r="3" spans="1:13" ht="15.75" thickBot="1" x14ac:dyDescent="0.3">
      <c r="A3" t="s">
        <v>1</v>
      </c>
      <c r="B3" s="57" t="e">
        <f>#REF!</f>
        <v>#REF!</v>
      </c>
      <c r="C3" s="5"/>
      <c r="D3" s="5"/>
      <c r="E3" s="5"/>
    </row>
    <row r="4" spans="1:13" ht="15.75" thickBot="1" x14ac:dyDescent="0.3">
      <c r="A4" t="s">
        <v>8</v>
      </c>
      <c r="B4" s="57" t="e">
        <f>#REF!</f>
        <v>#REF!</v>
      </c>
      <c r="C4" s="5"/>
      <c r="D4" s="5"/>
      <c r="E4" s="5"/>
    </row>
    <row r="5" spans="1:13" x14ac:dyDescent="0.25">
      <c r="B5" s="59"/>
      <c r="C5" s="5"/>
      <c r="D5" s="5"/>
      <c r="E5" s="5"/>
      <c r="H5" s="5"/>
      <c r="I5" s="6"/>
      <c r="J5" s="6"/>
      <c r="K5" s="6"/>
      <c r="L5" s="6"/>
      <c r="M5" s="6"/>
    </row>
    <row r="6" spans="1:13" x14ac:dyDescent="0.25">
      <c r="A6" s="4" t="s">
        <v>57</v>
      </c>
      <c r="B6" s="2" t="s">
        <v>3</v>
      </c>
      <c r="C6" s="2" t="s">
        <v>4</v>
      </c>
      <c r="D6" s="2" t="s">
        <v>5</v>
      </c>
      <c r="E6" s="2" t="s">
        <v>38</v>
      </c>
      <c r="F6" s="2" t="s">
        <v>6</v>
      </c>
      <c r="H6" s="5"/>
      <c r="I6" s="6"/>
      <c r="J6" s="6"/>
      <c r="K6" s="6"/>
      <c r="L6" s="6"/>
      <c r="M6" s="6"/>
    </row>
    <row r="7" spans="1:13" x14ac:dyDescent="0.25">
      <c r="A7" s="1" t="s">
        <v>56</v>
      </c>
      <c r="B7" s="26">
        <v>30</v>
      </c>
      <c r="C7" s="26">
        <v>0</v>
      </c>
      <c r="D7" s="26">
        <v>155</v>
      </c>
      <c r="E7" s="26">
        <v>0</v>
      </c>
      <c r="F7" s="2">
        <f>B7+C7+D7+E7</f>
        <v>185</v>
      </c>
      <c r="H7" s="5"/>
      <c r="I7" s="6"/>
      <c r="J7" s="6"/>
      <c r="K7" s="6"/>
      <c r="L7" s="6"/>
      <c r="M7" s="6"/>
    </row>
    <row r="8" spans="1:13" x14ac:dyDescent="0.25">
      <c r="A8" s="1" t="s">
        <v>9</v>
      </c>
      <c r="B8" s="26">
        <v>65</v>
      </c>
      <c r="C8" s="26">
        <v>0</v>
      </c>
      <c r="D8" s="26">
        <v>42</v>
      </c>
      <c r="E8" s="26">
        <v>0</v>
      </c>
      <c r="F8" s="60"/>
    </row>
    <row r="9" spans="1:13" x14ac:dyDescent="0.25">
      <c r="A9" s="1" t="s">
        <v>10</v>
      </c>
      <c r="B9" s="2">
        <f>B8*B7</f>
        <v>1950</v>
      </c>
      <c r="C9" s="2">
        <f t="shared" ref="C9:E9" si="0">C8*C7</f>
        <v>0</v>
      </c>
      <c r="D9" s="2">
        <f t="shared" si="0"/>
        <v>6510</v>
      </c>
      <c r="E9" s="2">
        <f t="shared" si="0"/>
        <v>0</v>
      </c>
      <c r="F9" s="2">
        <f>B9+C9+D9+E9</f>
        <v>8460</v>
      </c>
    </row>
    <row r="11" spans="1:13" x14ac:dyDescent="0.25">
      <c r="A11" s="4" t="s">
        <v>61</v>
      </c>
      <c r="B11" s="2" t="s">
        <v>20</v>
      </c>
      <c r="C11" s="2" t="s">
        <v>18</v>
      </c>
      <c r="D11" s="2" t="s">
        <v>21</v>
      </c>
      <c r="E11" s="2" t="s">
        <v>22</v>
      </c>
      <c r="F11" s="2" t="s">
        <v>51</v>
      </c>
      <c r="G11" s="7" t="s">
        <v>19</v>
      </c>
    </row>
    <row r="12" spans="1:13" x14ac:dyDescent="0.25">
      <c r="A12" s="1" t="s">
        <v>58</v>
      </c>
      <c r="B12" s="26">
        <v>0</v>
      </c>
      <c r="C12" s="26">
        <v>0</v>
      </c>
      <c r="D12" s="26">
        <v>0</v>
      </c>
      <c r="E12" s="26">
        <v>0</v>
      </c>
      <c r="F12" s="26">
        <v>0</v>
      </c>
      <c r="G12" s="2">
        <f>E12+D12+C12+B12</f>
        <v>0</v>
      </c>
    </row>
    <row r="13" spans="1:13" x14ac:dyDescent="0.25">
      <c r="A13" s="1" t="s">
        <v>9</v>
      </c>
      <c r="B13" s="26">
        <v>0</v>
      </c>
      <c r="C13" s="26">
        <v>0</v>
      </c>
      <c r="D13" s="26">
        <v>0</v>
      </c>
      <c r="E13" s="26">
        <v>0</v>
      </c>
      <c r="F13" s="26">
        <v>0</v>
      </c>
      <c r="G13" s="60"/>
    </row>
    <row r="14" spans="1:13" x14ac:dyDescent="0.25">
      <c r="A14" s="1" t="s">
        <v>10</v>
      </c>
      <c r="B14" s="2">
        <f>B13*B12</f>
        <v>0</v>
      </c>
      <c r="C14" s="2">
        <f>C13*C12</f>
        <v>0</v>
      </c>
      <c r="D14" s="2">
        <f>D13*D12</f>
        <v>0</v>
      </c>
      <c r="E14" s="2">
        <f>E13*E12</f>
        <v>0</v>
      </c>
      <c r="F14" s="2">
        <f>F13*F12</f>
        <v>0</v>
      </c>
      <c r="G14" s="2">
        <f>E14+D14+C14+B14</f>
        <v>0</v>
      </c>
    </row>
    <row r="16" spans="1:13" x14ac:dyDescent="0.25">
      <c r="A16" s="3" t="s">
        <v>28</v>
      </c>
    </row>
    <row r="17" spans="1:15" x14ac:dyDescent="0.25">
      <c r="A17" s="16" t="s">
        <v>27</v>
      </c>
      <c r="B17" s="268" t="s">
        <v>54</v>
      </c>
      <c r="C17" s="270"/>
      <c r="D17" s="270"/>
      <c r="E17" s="270"/>
      <c r="F17" s="270"/>
      <c r="G17" s="268" t="s">
        <v>33</v>
      </c>
      <c r="H17" s="269"/>
      <c r="I17" s="13" t="s">
        <v>30</v>
      </c>
      <c r="J17" s="13" t="s">
        <v>36</v>
      </c>
      <c r="K17" s="271" t="s">
        <v>53</v>
      </c>
      <c r="L17" s="272"/>
      <c r="M17" s="272"/>
      <c r="N17" s="272"/>
      <c r="O17" s="273"/>
    </row>
    <row r="18" spans="1:15" x14ac:dyDescent="0.25">
      <c r="A18" s="17"/>
      <c r="B18" s="36" t="s">
        <v>20</v>
      </c>
      <c r="C18" s="36" t="s">
        <v>18</v>
      </c>
      <c r="D18" s="36" t="s">
        <v>50</v>
      </c>
      <c r="E18" s="36" t="s">
        <v>49</v>
      </c>
      <c r="F18" s="52" t="s">
        <v>51</v>
      </c>
      <c r="G18" s="14" t="s">
        <v>31</v>
      </c>
      <c r="H18" s="15" t="s">
        <v>32</v>
      </c>
      <c r="I18" s="15"/>
      <c r="J18" s="15"/>
      <c r="K18" s="37" t="s">
        <v>20</v>
      </c>
      <c r="L18" s="36" t="s">
        <v>18</v>
      </c>
      <c r="M18" s="36" t="s">
        <v>50</v>
      </c>
      <c r="N18" s="36" t="s">
        <v>49</v>
      </c>
      <c r="O18" s="35" t="s">
        <v>51</v>
      </c>
    </row>
    <row r="19" spans="1:15" x14ac:dyDescent="0.25">
      <c r="A19" s="22" t="s">
        <v>35</v>
      </c>
      <c r="B19" s="21"/>
      <c r="C19" s="21"/>
      <c r="D19" s="21"/>
      <c r="E19" s="21"/>
      <c r="F19" s="21"/>
      <c r="G19" s="21"/>
      <c r="H19" s="21">
        <v>365</v>
      </c>
      <c r="I19" s="19">
        <f>1/0.54</f>
        <v>1.8518518518518516</v>
      </c>
      <c r="J19" s="19">
        <f t="shared" ref="J19:J41" si="1">((B19+C19+D19+E19+F19)*G19+(B19++C19+D19+E19+F19)*H19*I19)</f>
        <v>0</v>
      </c>
      <c r="K19" s="19" t="str">
        <f t="shared" ref="K19:K41" si="2">IFERROR(B19*($J19/B19),"-")</f>
        <v>-</v>
      </c>
      <c r="L19" s="19" t="str">
        <f t="shared" ref="L19:L41" si="3">IFERROR(C19*($J19/C19),"-")</f>
        <v>-</v>
      </c>
      <c r="M19" s="19" t="str">
        <f t="shared" ref="M19:M41" si="4">IFERROR(D19*($J19/D19),"-")</f>
        <v>-</v>
      </c>
      <c r="N19" s="19" t="str">
        <f t="shared" ref="N19:N41" si="5">IFERROR(E19*($J19/E19),"-")</f>
        <v>-</v>
      </c>
      <c r="O19" s="19" t="str">
        <f t="shared" ref="O19:O41" si="6">IFERROR(F19*($J19/F19),"-")</f>
        <v>-</v>
      </c>
    </row>
    <row r="20" spans="1:15" x14ac:dyDescent="0.25">
      <c r="A20" s="22" t="s">
        <v>34</v>
      </c>
      <c r="B20" s="21"/>
      <c r="C20" s="21"/>
      <c r="D20" s="21"/>
      <c r="E20" s="21"/>
      <c r="F20" s="21"/>
      <c r="G20" s="21">
        <v>280</v>
      </c>
      <c r="H20" s="21"/>
      <c r="I20" s="19">
        <f t="shared" ref="I20:I41" si="7">1/0.54</f>
        <v>1.8518518518518516</v>
      </c>
      <c r="J20" s="19">
        <f t="shared" si="1"/>
        <v>0</v>
      </c>
      <c r="K20" s="19" t="str">
        <f t="shared" si="2"/>
        <v>-</v>
      </c>
      <c r="L20" s="19" t="str">
        <f t="shared" si="3"/>
        <v>-</v>
      </c>
      <c r="M20" s="19" t="str">
        <f t="shared" si="4"/>
        <v>-</v>
      </c>
      <c r="N20" s="19" t="str">
        <f t="shared" si="5"/>
        <v>-</v>
      </c>
      <c r="O20" s="19" t="str">
        <f t="shared" si="6"/>
        <v>-</v>
      </c>
    </row>
    <row r="21" spans="1:15" x14ac:dyDescent="0.25">
      <c r="A21" s="56"/>
      <c r="B21" s="51"/>
      <c r="C21" s="51"/>
      <c r="D21" s="51"/>
      <c r="E21" s="51"/>
      <c r="F21" s="51"/>
      <c r="G21" s="51"/>
      <c r="H21" s="51"/>
      <c r="I21" s="19">
        <f t="shared" si="7"/>
        <v>1.8518518518518516</v>
      </c>
      <c r="J21" s="19">
        <f t="shared" si="1"/>
        <v>0</v>
      </c>
      <c r="K21" s="19" t="str">
        <f t="shared" si="2"/>
        <v>-</v>
      </c>
      <c r="L21" s="19" t="str">
        <f t="shared" si="3"/>
        <v>-</v>
      </c>
      <c r="M21" s="19" t="str">
        <f t="shared" si="4"/>
        <v>-</v>
      </c>
      <c r="N21" s="19" t="str">
        <f t="shared" si="5"/>
        <v>-</v>
      </c>
      <c r="O21" s="19" t="str">
        <f t="shared" si="6"/>
        <v>-</v>
      </c>
    </row>
    <row r="22" spans="1:15" x14ac:dyDescent="0.25">
      <c r="A22" s="56"/>
      <c r="B22" s="51"/>
      <c r="C22" s="51"/>
      <c r="D22" s="51">
        <v>100</v>
      </c>
      <c r="E22" s="51"/>
      <c r="F22" s="51"/>
      <c r="G22" s="51">
        <v>700</v>
      </c>
      <c r="H22" s="51"/>
      <c r="I22" s="19">
        <f t="shared" si="7"/>
        <v>1.8518518518518516</v>
      </c>
      <c r="J22" s="19">
        <f t="shared" si="1"/>
        <v>70000</v>
      </c>
      <c r="K22" s="19" t="str">
        <f t="shared" si="2"/>
        <v>-</v>
      </c>
      <c r="L22" s="19" t="str">
        <f t="shared" si="3"/>
        <v>-</v>
      </c>
      <c r="M22" s="19">
        <f t="shared" si="4"/>
        <v>70000</v>
      </c>
      <c r="N22" s="19" t="str">
        <f t="shared" si="5"/>
        <v>-</v>
      </c>
      <c r="O22" s="19" t="str">
        <f t="shared" si="6"/>
        <v>-</v>
      </c>
    </row>
    <row r="23" spans="1:15" x14ac:dyDescent="0.25">
      <c r="A23" s="56"/>
      <c r="B23" s="51"/>
      <c r="C23" s="51"/>
      <c r="D23" s="51"/>
      <c r="E23" s="51"/>
      <c r="F23" s="51"/>
      <c r="G23" s="51"/>
      <c r="H23" s="51"/>
      <c r="I23" s="19">
        <f t="shared" si="7"/>
        <v>1.8518518518518516</v>
      </c>
      <c r="J23" s="19">
        <f t="shared" si="1"/>
        <v>0</v>
      </c>
      <c r="K23" s="19" t="str">
        <f t="shared" si="2"/>
        <v>-</v>
      </c>
      <c r="L23" s="19" t="str">
        <f t="shared" si="3"/>
        <v>-</v>
      </c>
      <c r="M23" s="19" t="str">
        <f t="shared" si="4"/>
        <v>-</v>
      </c>
      <c r="N23" s="19" t="str">
        <f t="shared" si="5"/>
        <v>-</v>
      </c>
      <c r="O23" s="19" t="str">
        <f t="shared" si="6"/>
        <v>-</v>
      </c>
    </row>
    <row r="24" spans="1:15" x14ac:dyDescent="0.25">
      <c r="A24" s="56"/>
      <c r="B24" s="51"/>
      <c r="C24" s="51"/>
      <c r="D24" s="51"/>
      <c r="E24" s="51"/>
      <c r="F24" s="51"/>
      <c r="G24" s="51"/>
      <c r="H24" s="51"/>
      <c r="I24" s="19">
        <f t="shared" si="7"/>
        <v>1.8518518518518516</v>
      </c>
      <c r="J24" s="19">
        <f t="shared" si="1"/>
        <v>0</v>
      </c>
      <c r="K24" s="19" t="str">
        <f t="shared" si="2"/>
        <v>-</v>
      </c>
      <c r="L24" s="19" t="str">
        <f t="shared" si="3"/>
        <v>-</v>
      </c>
      <c r="M24" s="19" t="str">
        <f t="shared" si="4"/>
        <v>-</v>
      </c>
      <c r="N24" s="19" t="str">
        <f t="shared" si="5"/>
        <v>-</v>
      </c>
      <c r="O24" s="19" t="str">
        <f t="shared" si="6"/>
        <v>-</v>
      </c>
    </row>
    <row r="25" spans="1:15" x14ac:dyDescent="0.25">
      <c r="A25" s="56"/>
      <c r="B25" s="51"/>
      <c r="C25" s="51"/>
      <c r="D25" s="51"/>
      <c r="E25" s="51"/>
      <c r="F25" s="51"/>
      <c r="G25" s="51"/>
      <c r="H25" s="51"/>
      <c r="I25" s="19">
        <f t="shared" si="7"/>
        <v>1.8518518518518516</v>
      </c>
      <c r="J25" s="19">
        <f t="shared" si="1"/>
        <v>0</v>
      </c>
      <c r="K25" s="19" t="str">
        <f t="shared" si="2"/>
        <v>-</v>
      </c>
      <c r="L25" s="19" t="str">
        <f t="shared" si="3"/>
        <v>-</v>
      </c>
      <c r="M25" s="19" t="str">
        <f t="shared" si="4"/>
        <v>-</v>
      </c>
      <c r="N25" s="19" t="str">
        <f t="shared" si="5"/>
        <v>-</v>
      </c>
      <c r="O25" s="19" t="str">
        <f t="shared" si="6"/>
        <v>-</v>
      </c>
    </row>
    <row r="26" spans="1:15" x14ac:dyDescent="0.25">
      <c r="A26" s="56"/>
      <c r="B26" s="51"/>
      <c r="C26" s="51"/>
      <c r="D26" s="51"/>
      <c r="E26" s="51"/>
      <c r="F26" s="51"/>
      <c r="G26" s="51"/>
      <c r="H26" s="51"/>
      <c r="I26" s="19">
        <f t="shared" si="7"/>
        <v>1.8518518518518516</v>
      </c>
      <c r="J26" s="19">
        <f t="shared" si="1"/>
        <v>0</v>
      </c>
      <c r="K26" s="19" t="str">
        <f t="shared" si="2"/>
        <v>-</v>
      </c>
      <c r="L26" s="19" t="str">
        <f t="shared" si="3"/>
        <v>-</v>
      </c>
      <c r="M26" s="19" t="str">
        <f t="shared" si="4"/>
        <v>-</v>
      </c>
      <c r="N26" s="19" t="str">
        <f t="shared" si="5"/>
        <v>-</v>
      </c>
      <c r="O26" s="19" t="str">
        <f t="shared" si="6"/>
        <v>-</v>
      </c>
    </row>
    <row r="27" spans="1:15" x14ac:dyDescent="0.25">
      <c r="A27" s="56"/>
      <c r="B27" s="51"/>
      <c r="C27" s="51"/>
      <c r="D27" s="51"/>
      <c r="E27" s="51"/>
      <c r="F27" s="51"/>
      <c r="G27" s="51"/>
      <c r="H27" s="51"/>
      <c r="I27" s="19">
        <f t="shared" si="7"/>
        <v>1.8518518518518516</v>
      </c>
      <c r="J27" s="19">
        <f t="shared" si="1"/>
        <v>0</v>
      </c>
      <c r="K27" s="19" t="str">
        <f t="shared" si="2"/>
        <v>-</v>
      </c>
      <c r="L27" s="19" t="str">
        <f t="shared" si="3"/>
        <v>-</v>
      </c>
      <c r="M27" s="19" t="str">
        <f t="shared" si="4"/>
        <v>-</v>
      </c>
      <c r="N27" s="19" t="str">
        <f t="shared" si="5"/>
        <v>-</v>
      </c>
      <c r="O27" s="19" t="str">
        <f t="shared" si="6"/>
        <v>-</v>
      </c>
    </row>
    <row r="28" spans="1:15" x14ac:dyDescent="0.25">
      <c r="A28" s="56"/>
      <c r="B28" s="51"/>
      <c r="C28" s="51"/>
      <c r="D28" s="51"/>
      <c r="E28" s="51"/>
      <c r="F28" s="51"/>
      <c r="G28" s="51"/>
      <c r="H28" s="51"/>
      <c r="I28" s="19">
        <f t="shared" si="7"/>
        <v>1.8518518518518516</v>
      </c>
      <c r="J28" s="19">
        <f t="shared" si="1"/>
        <v>0</v>
      </c>
      <c r="K28" s="19" t="str">
        <f t="shared" si="2"/>
        <v>-</v>
      </c>
      <c r="L28" s="19" t="str">
        <f t="shared" si="3"/>
        <v>-</v>
      </c>
      <c r="M28" s="19" t="str">
        <f t="shared" si="4"/>
        <v>-</v>
      </c>
      <c r="N28" s="19" t="str">
        <f t="shared" si="5"/>
        <v>-</v>
      </c>
      <c r="O28" s="19" t="str">
        <f t="shared" si="6"/>
        <v>-</v>
      </c>
    </row>
    <row r="29" spans="1:15" x14ac:dyDescent="0.25">
      <c r="A29" s="56"/>
      <c r="B29" s="51"/>
      <c r="C29" s="51"/>
      <c r="D29" s="51"/>
      <c r="E29" s="51"/>
      <c r="F29" s="51"/>
      <c r="G29" s="51"/>
      <c r="H29" s="51"/>
      <c r="I29" s="19">
        <f t="shared" si="7"/>
        <v>1.8518518518518516</v>
      </c>
      <c r="J29" s="19">
        <f t="shared" si="1"/>
        <v>0</v>
      </c>
      <c r="K29" s="19" t="str">
        <f t="shared" si="2"/>
        <v>-</v>
      </c>
      <c r="L29" s="19" t="str">
        <f t="shared" si="3"/>
        <v>-</v>
      </c>
      <c r="M29" s="19" t="str">
        <f t="shared" si="4"/>
        <v>-</v>
      </c>
      <c r="N29" s="19" t="str">
        <f t="shared" si="5"/>
        <v>-</v>
      </c>
      <c r="O29" s="19" t="str">
        <f t="shared" si="6"/>
        <v>-</v>
      </c>
    </row>
    <row r="30" spans="1:15" x14ac:dyDescent="0.25">
      <c r="A30" s="56"/>
      <c r="B30" s="51"/>
      <c r="C30" s="51"/>
      <c r="D30" s="51"/>
      <c r="E30" s="51"/>
      <c r="F30" s="51"/>
      <c r="G30" s="51"/>
      <c r="H30" s="51"/>
      <c r="I30" s="19">
        <f t="shared" si="7"/>
        <v>1.8518518518518516</v>
      </c>
      <c r="J30" s="19">
        <f t="shared" si="1"/>
        <v>0</v>
      </c>
      <c r="K30" s="19" t="str">
        <f t="shared" si="2"/>
        <v>-</v>
      </c>
      <c r="L30" s="19" t="str">
        <f t="shared" si="3"/>
        <v>-</v>
      </c>
      <c r="M30" s="19" t="str">
        <f t="shared" si="4"/>
        <v>-</v>
      </c>
      <c r="N30" s="19" t="str">
        <f t="shared" si="5"/>
        <v>-</v>
      </c>
      <c r="O30" s="19" t="str">
        <f t="shared" si="6"/>
        <v>-</v>
      </c>
    </row>
    <row r="31" spans="1:15" x14ac:dyDescent="0.25">
      <c r="A31" s="56"/>
      <c r="B31" s="51"/>
      <c r="C31" s="51"/>
      <c r="D31" s="51"/>
      <c r="E31" s="51"/>
      <c r="F31" s="51"/>
      <c r="G31" s="51"/>
      <c r="H31" s="51"/>
      <c r="I31" s="19">
        <f t="shared" si="7"/>
        <v>1.8518518518518516</v>
      </c>
      <c r="J31" s="19">
        <f t="shared" si="1"/>
        <v>0</v>
      </c>
      <c r="K31" s="19" t="str">
        <f t="shared" si="2"/>
        <v>-</v>
      </c>
      <c r="L31" s="19" t="str">
        <f t="shared" si="3"/>
        <v>-</v>
      </c>
      <c r="M31" s="19" t="str">
        <f t="shared" si="4"/>
        <v>-</v>
      </c>
      <c r="N31" s="19" t="str">
        <f t="shared" si="5"/>
        <v>-</v>
      </c>
      <c r="O31" s="19" t="str">
        <f t="shared" si="6"/>
        <v>-</v>
      </c>
    </row>
    <row r="32" spans="1:15" x14ac:dyDescent="0.25">
      <c r="A32" s="56"/>
      <c r="B32" s="51"/>
      <c r="C32" s="51"/>
      <c r="D32" s="51"/>
      <c r="E32" s="51"/>
      <c r="F32" s="51"/>
      <c r="G32" s="51"/>
      <c r="H32" s="51"/>
      <c r="I32" s="19">
        <f t="shared" si="7"/>
        <v>1.8518518518518516</v>
      </c>
      <c r="J32" s="19">
        <f t="shared" si="1"/>
        <v>0</v>
      </c>
      <c r="K32" s="19" t="str">
        <f t="shared" si="2"/>
        <v>-</v>
      </c>
      <c r="L32" s="19" t="str">
        <f t="shared" si="3"/>
        <v>-</v>
      </c>
      <c r="M32" s="19" t="str">
        <f t="shared" si="4"/>
        <v>-</v>
      </c>
      <c r="N32" s="19" t="str">
        <f t="shared" si="5"/>
        <v>-</v>
      </c>
      <c r="O32" s="19" t="str">
        <f t="shared" si="6"/>
        <v>-</v>
      </c>
    </row>
    <row r="33" spans="1:15" x14ac:dyDescent="0.25">
      <c r="A33" s="56"/>
      <c r="B33" s="51"/>
      <c r="C33" s="51"/>
      <c r="D33" s="51"/>
      <c r="E33" s="51"/>
      <c r="F33" s="51"/>
      <c r="G33" s="51"/>
      <c r="H33" s="51"/>
      <c r="I33" s="19">
        <f t="shared" si="7"/>
        <v>1.8518518518518516</v>
      </c>
      <c r="J33" s="19">
        <f t="shared" si="1"/>
        <v>0</v>
      </c>
      <c r="K33" s="19" t="str">
        <f t="shared" si="2"/>
        <v>-</v>
      </c>
      <c r="L33" s="19" t="str">
        <f t="shared" si="3"/>
        <v>-</v>
      </c>
      <c r="M33" s="19" t="str">
        <f t="shared" si="4"/>
        <v>-</v>
      </c>
      <c r="N33" s="19" t="str">
        <f t="shared" si="5"/>
        <v>-</v>
      </c>
      <c r="O33" s="19" t="str">
        <f t="shared" si="6"/>
        <v>-</v>
      </c>
    </row>
    <row r="34" spans="1:15" x14ac:dyDescent="0.25">
      <c r="A34" s="56"/>
      <c r="B34" s="51"/>
      <c r="C34" s="51"/>
      <c r="D34" s="51"/>
      <c r="E34" s="51"/>
      <c r="F34" s="51"/>
      <c r="G34" s="51"/>
      <c r="H34" s="51"/>
      <c r="I34" s="19">
        <f t="shared" si="7"/>
        <v>1.8518518518518516</v>
      </c>
      <c r="J34" s="19">
        <f t="shared" si="1"/>
        <v>0</v>
      </c>
      <c r="K34" s="19" t="str">
        <f t="shared" si="2"/>
        <v>-</v>
      </c>
      <c r="L34" s="19" t="str">
        <f t="shared" si="3"/>
        <v>-</v>
      </c>
      <c r="M34" s="19" t="str">
        <f t="shared" si="4"/>
        <v>-</v>
      </c>
      <c r="N34" s="19" t="str">
        <f t="shared" si="5"/>
        <v>-</v>
      </c>
      <c r="O34" s="19" t="str">
        <f t="shared" si="6"/>
        <v>-</v>
      </c>
    </row>
    <row r="35" spans="1:15" x14ac:dyDescent="0.25">
      <c r="A35" s="56"/>
      <c r="B35" s="51"/>
      <c r="C35" s="51"/>
      <c r="D35" s="51"/>
      <c r="E35" s="51"/>
      <c r="F35" s="51"/>
      <c r="G35" s="51"/>
      <c r="H35" s="51"/>
      <c r="I35" s="19">
        <f t="shared" si="7"/>
        <v>1.8518518518518516</v>
      </c>
      <c r="J35" s="19">
        <f t="shared" si="1"/>
        <v>0</v>
      </c>
      <c r="K35" s="19" t="str">
        <f t="shared" si="2"/>
        <v>-</v>
      </c>
      <c r="L35" s="19" t="str">
        <f t="shared" si="3"/>
        <v>-</v>
      </c>
      <c r="M35" s="19" t="str">
        <f t="shared" si="4"/>
        <v>-</v>
      </c>
      <c r="N35" s="19" t="str">
        <f t="shared" si="5"/>
        <v>-</v>
      </c>
      <c r="O35" s="19" t="str">
        <f t="shared" si="6"/>
        <v>-</v>
      </c>
    </row>
    <row r="36" spans="1:15" x14ac:dyDescent="0.25">
      <c r="A36" s="56"/>
      <c r="B36" s="51"/>
      <c r="C36" s="51"/>
      <c r="D36" s="51"/>
      <c r="E36" s="51"/>
      <c r="F36" s="51"/>
      <c r="G36" s="51"/>
      <c r="H36" s="51"/>
      <c r="I36" s="19">
        <f t="shared" si="7"/>
        <v>1.8518518518518516</v>
      </c>
      <c r="J36" s="19">
        <f t="shared" si="1"/>
        <v>0</v>
      </c>
      <c r="K36" s="19" t="str">
        <f t="shared" si="2"/>
        <v>-</v>
      </c>
      <c r="L36" s="19" t="str">
        <f t="shared" si="3"/>
        <v>-</v>
      </c>
      <c r="M36" s="19" t="str">
        <f t="shared" si="4"/>
        <v>-</v>
      </c>
      <c r="N36" s="19" t="str">
        <f t="shared" si="5"/>
        <v>-</v>
      </c>
      <c r="O36" s="19" t="str">
        <f t="shared" si="6"/>
        <v>-</v>
      </c>
    </row>
    <row r="37" spans="1:15" x14ac:dyDescent="0.25">
      <c r="A37" s="56"/>
      <c r="B37" s="51"/>
      <c r="C37" s="51"/>
      <c r="D37" s="51"/>
      <c r="E37" s="51"/>
      <c r="F37" s="51"/>
      <c r="G37" s="51"/>
      <c r="H37" s="51"/>
      <c r="I37" s="19">
        <f t="shared" si="7"/>
        <v>1.8518518518518516</v>
      </c>
      <c r="J37" s="19">
        <f t="shared" si="1"/>
        <v>0</v>
      </c>
      <c r="K37" s="19" t="str">
        <f t="shared" si="2"/>
        <v>-</v>
      </c>
      <c r="L37" s="19" t="str">
        <f t="shared" si="3"/>
        <v>-</v>
      </c>
      <c r="M37" s="19" t="str">
        <f t="shared" si="4"/>
        <v>-</v>
      </c>
      <c r="N37" s="19" t="str">
        <f t="shared" si="5"/>
        <v>-</v>
      </c>
      <c r="O37" s="19" t="str">
        <f t="shared" si="6"/>
        <v>-</v>
      </c>
    </row>
    <row r="38" spans="1:15" x14ac:dyDescent="0.25">
      <c r="A38" s="56"/>
      <c r="B38" s="51"/>
      <c r="C38" s="51"/>
      <c r="D38" s="51"/>
      <c r="E38" s="51"/>
      <c r="F38" s="51"/>
      <c r="G38" s="51"/>
      <c r="H38" s="51"/>
      <c r="I38" s="19">
        <f t="shared" si="7"/>
        <v>1.8518518518518516</v>
      </c>
      <c r="J38" s="19">
        <f t="shared" si="1"/>
        <v>0</v>
      </c>
      <c r="K38" s="19" t="str">
        <f t="shared" si="2"/>
        <v>-</v>
      </c>
      <c r="L38" s="19" t="str">
        <f t="shared" si="3"/>
        <v>-</v>
      </c>
      <c r="M38" s="19" t="str">
        <f t="shared" si="4"/>
        <v>-</v>
      </c>
      <c r="N38" s="19" t="str">
        <f t="shared" si="5"/>
        <v>-</v>
      </c>
      <c r="O38" s="19" t="str">
        <f t="shared" si="6"/>
        <v>-</v>
      </c>
    </row>
    <row r="39" spans="1:15" x14ac:dyDescent="0.25">
      <c r="A39" s="56"/>
      <c r="B39" s="51"/>
      <c r="C39" s="51"/>
      <c r="D39" s="51"/>
      <c r="E39" s="51"/>
      <c r="F39" s="51"/>
      <c r="G39" s="51"/>
      <c r="H39" s="51"/>
      <c r="I39" s="19">
        <f t="shared" si="7"/>
        <v>1.8518518518518516</v>
      </c>
      <c r="J39" s="19">
        <f t="shared" si="1"/>
        <v>0</v>
      </c>
      <c r="K39" s="19" t="str">
        <f t="shared" si="2"/>
        <v>-</v>
      </c>
      <c r="L39" s="19" t="str">
        <f t="shared" si="3"/>
        <v>-</v>
      </c>
      <c r="M39" s="19" t="str">
        <f t="shared" si="4"/>
        <v>-</v>
      </c>
      <c r="N39" s="19" t="str">
        <f t="shared" si="5"/>
        <v>-</v>
      </c>
      <c r="O39" s="19" t="str">
        <f t="shared" si="6"/>
        <v>-</v>
      </c>
    </row>
    <row r="40" spans="1:15" x14ac:dyDescent="0.25">
      <c r="A40" s="56"/>
      <c r="B40" s="51"/>
      <c r="C40" s="51"/>
      <c r="D40" s="51"/>
      <c r="E40" s="51"/>
      <c r="F40" s="51"/>
      <c r="G40" s="51"/>
      <c r="H40" s="51"/>
      <c r="I40" s="19">
        <f t="shared" si="7"/>
        <v>1.8518518518518516</v>
      </c>
      <c r="J40" s="19">
        <f t="shared" si="1"/>
        <v>0</v>
      </c>
      <c r="K40" s="19" t="str">
        <f t="shared" si="2"/>
        <v>-</v>
      </c>
      <c r="L40" s="19" t="str">
        <f t="shared" si="3"/>
        <v>-</v>
      </c>
      <c r="M40" s="19" t="str">
        <f t="shared" si="4"/>
        <v>-</v>
      </c>
      <c r="N40" s="19" t="str">
        <f t="shared" si="5"/>
        <v>-</v>
      </c>
      <c r="O40" s="19" t="str">
        <f t="shared" si="6"/>
        <v>-</v>
      </c>
    </row>
    <row r="41" spans="1:15" x14ac:dyDescent="0.25">
      <c r="A41" s="56"/>
      <c r="B41" s="51"/>
      <c r="C41" s="51"/>
      <c r="D41" s="51"/>
      <c r="E41" s="51"/>
      <c r="F41" s="51"/>
      <c r="G41" s="51"/>
      <c r="H41" s="51"/>
      <c r="I41" s="19">
        <f t="shared" si="7"/>
        <v>1.8518518518518516</v>
      </c>
      <c r="J41" s="19">
        <f t="shared" si="1"/>
        <v>0</v>
      </c>
      <c r="K41" s="19" t="str">
        <f t="shared" si="2"/>
        <v>-</v>
      </c>
      <c r="L41" s="19" t="str">
        <f t="shared" si="3"/>
        <v>-</v>
      </c>
      <c r="M41" s="19" t="str">
        <f t="shared" si="4"/>
        <v>-</v>
      </c>
      <c r="N41" s="19" t="str">
        <f t="shared" si="5"/>
        <v>-</v>
      </c>
      <c r="O41" s="19" t="str">
        <f t="shared" si="6"/>
        <v>-</v>
      </c>
    </row>
    <row r="42" spans="1:15" x14ac:dyDescent="0.25">
      <c r="A42" s="12" t="s">
        <v>26</v>
      </c>
      <c r="B42" s="2">
        <f>SUM(B21:B41)</f>
        <v>0</v>
      </c>
      <c r="C42" s="2">
        <f>SUM(C21:C41)</f>
        <v>0</v>
      </c>
      <c r="D42" s="2">
        <f t="shared" ref="D42:F42" si="8">SUM(D21:D41)</f>
        <v>100</v>
      </c>
      <c r="E42" s="2">
        <f t="shared" si="8"/>
        <v>0</v>
      </c>
      <c r="F42" s="2">
        <f t="shared" si="8"/>
        <v>0</v>
      </c>
      <c r="G42" s="6"/>
      <c r="H42" s="9"/>
      <c r="I42" s="53" t="s">
        <v>26</v>
      </c>
      <c r="J42" s="11">
        <f>SUM(J21:J41)</f>
        <v>70000</v>
      </c>
      <c r="K42" s="23">
        <f>SUM(K21:K41)</f>
        <v>0</v>
      </c>
      <c r="L42" s="23">
        <f>SUM(L21:L41)</f>
        <v>0</v>
      </c>
      <c r="M42" s="23">
        <f t="shared" ref="M42:O42" si="9">SUM(M21:M41)</f>
        <v>70000</v>
      </c>
      <c r="N42" s="23">
        <f t="shared" si="9"/>
        <v>0</v>
      </c>
      <c r="O42" s="23">
        <f t="shared" si="9"/>
        <v>0</v>
      </c>
    </row>
    <row r="43" spans="1:15" x14ac:dyDescent="0.25">
      <c r="B43" s="9"/>
      <c r="C43" s="9"/>
      <c r="D43" s="9"/>
      <c r="E43" s="9"/>
      <c r="F43" s="9"/>
      <c r="G43" s="9"/>
      <c r="H43" s="25"/>
      <c r="J43" s="11" t="s">
        <v>55</v>
      </c>
      <c r="K43" s="24" t="str">
        <f>IFERROR(K42/B42,"0")</f>
        <v>0</v>
      </c>
      <c r="L43" s="24" t="str">
        <f>IFERROR(L42/C42,"0")</f>
        <v>0</v>
      </c>
      <c r="M43" s="24">
        <f>IFERROR(M42/D42,"0")</f>
        <v>700</v>
      </c>
      <c r="N43" s="24" t="str">
        <f>IFERROR(N42/E42,"0")</f>
        <v>0</v>
      </c>
      <c r="O43" s="24" t="str">
        <f t="shared" ref="O43" si="10">IFERROR(O42/F42,"0")</f>
        <v>0</v>
      </c>
    </row>
    <row r="45" spans="1:15" x14ac:dyDescent="0.25">
      <c r="A45" s="3" t="s">
        <v>37</v>
      </c>
    </row>
    <row r="46" spans="1:15" x14ac:dyDescent="0.25">
      <c r="A46" s="16" t="s">
        <v>27</v>
      </c>
      <c r="B46" s="268" t="s">
        <v>29</v>
      </c>
      <c r="C46" s="270"/>
      <c r="D46" s="270"/>
      <c r="E46" s="270"/>
      <c r="F46" s="268" t="s">
        <v>33</v>
      </c>
      <c r="G46" s="269"/>
      <c r="H46" s="13" t="s">
        <v>30</v>
      </c>
      <c r="I46" s="13" t="s">
        <v>36</v>
      </c>
      <c r="J46" s="271" t="s">
        <v>53</v>
      </c>
      <c r="K46" s="272"/>
      <c r="L46" s="272"/>
      <c r="M46" s="273"/>
    </row>
    <row r="47" spans="1:15" x14ac:dyDescent="0.25">
      <c r="A47" s="17"/>
      <c r="B47" s="14" t="s">
        <v>48</v>
      </c>
      <c r="C47" s="14" t="s">
        <v>4</v>
      </c>
      <c r="D47" s="14" t="s">
        <v>5</v>
      </c>
      <c r="E47" s="14" t="s">
        <v>38</v>
      </c>
      <c r="F47" s="20" t="s">
        <v>31</v>
      </c>
      <c r="G47" s="15" t="s">
        <v>32</v>
      </c>
      <c r="H47" s="15"/>
      <c r="I47" s="15"/>
      <c r="J47" s="14" t="s">
        <v>48</v>
      </c>
      <c r="K47" s="14" t="s">
        <v>4</v>
      </c>
      <c r="L47" s="14" t="s">
        <v>5</v>
      </c>
      <c r="M47" s="15" t="s">
        <v>38</v>
      </c>
    </row>
    <row r="48" spans="1:15" x14ac:dyDescent="0.25">
      <c r="A48" s="54" t="s">
        <v>35</v>
      </c>
      <c r="B48" s="55"/>
      <c r="C48" s="55"/>
      <c r="D48" s="55">
        <v>45</v>
      </c>
      <c r="E48" s="55"/>
      <c r="F48" s="55"/>
      <c r="G48" s="55">
        <v>19.399999999999999</v>
      </c>
      <c r="H48" s="18">
        <f>1/0.48</f>
        <v>2.0833333333333335</v>
      </c>
      <c r="I48" s="18">
        <f t="shared" ref="I48:I65" si="11">((B48+C48+D48+E48)*F48+(B48+C48+D48+E48)*G48*H48)</f>
        <v>1818.75</v>
      </c>
      <c r="J48" s="18" t="str">
        <f t="shared" ref="J48:J65" si="12">IFERROR(B48*($I48/B48),"-")</f>
        <v>-</v>
      </c>
      <c r="K48" s="18" t="str">
        <f t="shared" ref="K48:K65" si="13">IFERROR(C48*($I48/C48),"-")</f>
        <v>-</v>
      </c>
      <c r="L48" s="18">
        <f t="shared" ref="L48:L65" si="14">IFERROR(D48*($I48/D48),"-")</f>
        <v>1818.75</v>
      </c>
      <c r="M48" s="18" t="str">
        <f t="shared" ref="M48:M65" si="15">IFERROR(E48*($I48/E48),"-")</f>
        <v>-</v>
      </c>
    </row>
    <row r="49" spans="1:13" x14ac:dyDescent="0.25">
      <c r="A49" s="56"/>
      <c r="B49" s="51"/>
      <c r="C49" s="51"/>
      <c r="D49" s="51"/>
      <c r="E49" s="51"/>
      <c r="F49" s="51"/>
      <c r="G49" s="51"/>
      <c r="H49" s="19">
        <f t="shared" ref="H49:H65" si="16">1/0.48</f>
        <v>2.0833333333333335</v>
      </c>
      <c r="I49" s="19">
        <f t="shared" si="11"/>
        <v>0</v>
      </c>
      <c r="J49" s="19" t="str">
        <f t="shared" si="12"/>
        <v>-</v>
      </c>
      <c r="K49" s="19" t="str">
        <f t="shared" si="13"/>
        <v>-</v>
      </c>
      <c r="L49" s="19" t="str">
        <f t="shared" si="14"/>
        <v>-</v>
      </c>
      <c r="M49" s="19" t="str">
        <f t="shared" si="15"/>
        <v>-</v>
      </c>
    </row>
    <row r="50" spans="1:13" x14ac:dyDescent="0.25">
      <c r="A50" s="56"/>
      <c r="B50" s="51"/>
      <c r="C50" s="51"/>
      <c r="D50" s="51"/>
      <c r="E50" s="51"/>
      <c r="F50" s="51"/>
      <c r="G50" s="51"/>
      <c r="H50" s="19">
        <f t="shared" si="16"/>
        <v>2.0833333333333335</v>
      </c>
      <c r="I50" s="19">
        <f t="shared" si="11"/>
        <v>0</v>
      </c>
      <c r="J50" s="19" t="str">
        <f t="shared" si="12"/>
        <v>-</v>
      </c>
      <c r="K50" s="19" t="str">
        <f t="shared" si="13"/>
        <v>-</v>
      </c>
      <c r="L50" s="19" t="str">
        <f t="shared" si="14"/>
        <v>-</v>
      </c>
      <c r="M50" s="19" t="str">
        <f t="shared" si="15"/>
        <v>-</v>
      </c>
    </row>
    <row r="51" spans="1:13" x14ac:dyDescent="0.25">
      <c r="A51" s="56"/>
      <c r="B51" s="51"/>
      <c r="C51" s="51"/>
      <c r="D51" s="51"/>
      <c r="E51" s="51"/>
      <c r="F51" s="51"/>
      <c r="G51" s="51"/>
      <c r="H51" s="19">
        <f t="shared" si="16"/>
        <v>2.0833333333333335</v>
      </c>
      <c r="I51" s="19">
        <f t="shared" si="11"/>
        <v>0</v>
      </c>
      <c r="J51" s="19" t="str">
        <f t="shared" si="12"/>
        <v>-</v>
      </c>
      <c r="K51" s="19" t="str">
        <f t="shared" si="13"/>
        <v>-</v>
      </c>
      <c r="L51" s="19" t="str">
        <f t="shared" si="14"/>
        <v>-</v>
      </c>
      <c r="M51" s="19" t="str">
        <f t="shared" si="15"/>
        <v>-</v>
      </c>
    </row>
    <row r="52" spans="1:13" x14ac:dyDescent="0.25">
      <c r="A52" s="56"/>
      <c r="B52" s="51"/>
      <c r="C52" s="51"/>
      <c r="D52" s="51"/>
      <c r="E52" s="51"/>
      <c r="F52" s="51"/>
      <c r="G52" s="51"/>
      <c r="H52" s="19">
        <f t="shared" si="16"/>
        <v>2.0833333333333335</v>
      </c>
      <c r="I52" s="19">
        <f t="shared" si="11"/>
        <v>0</v>
      </c>
      <c r="J52" s="19" t="str">
        <f t="shared" si="12"/>
        <v>-</v>
      </c>
      <c r="K52" s="19" t="str">
        <f t="shared" si="13"/>
        <v>-</v>
      </c>
      <c r="L52" s="19" t="str">
        <f t="shared" si="14"/>
        <v>-</v>
      </c>
      <c r="M52" s="19" t="str">
        <f t="shared" si="15"/>
        <v>-</v>
      </c>
    </row>
    <row r="53" spans="1:13" x14ac:dyDescent="0.25">
      <c r="A53" s="56"/>
      <c r="B53" s="51"/>
      <c r="C53" s="51"/>
      <c r="D53" s="51"/>
      <c r="E53" s="51"/>
      <c r="F53" s="51"/>
      <c r="G53" s="51"/>
      <c r="H53" s="19">
        <f t="shared" si="16"/>
        <v>2.0833333333333335</v>
      </c>
      <c r="I53" s="19">
        <f t="shared" si="11"/>
        <v>0</v>
      </c>
      <c r="J53" s="19" t="str">
        <f t="shared" si="12"/>
        <v>-</v>
      </c>
      <c r="K53" s="19" t="str">
        <f t="shared" si="13"/>
        <v>-</v>
      </c>
      <c r="L53" s="19" t="str">
        <f t="shared" si="14"/>
        <v>-</v>
      </c>
      <c r="M53" s="19" t="str">
        <f t="shared" si="15"/>
        <v>-</v>
      </c>
    </row>
    <row r="54" spans="1:13" x14ac:dyDescent="0.25">
      <c r="A54" s="56"/>
      <c r="B54" s="51"/>
      <c r="C54" s="51"/>
      <c r="D54" s="51"/>
      <c r="E54" s="51"/>
      <c r="F54" s="51"/>
      <c r="G54" s="51"/>
      <c r="H54" s="19">
        <f t="shared" si="16"/>
        <v>2.0833333333333335</v>
      </c>
      <c r="I54" s="19">
        <f t="shared" si="11"/>
        <v>0</v>
      </c>
      <c r="J54" s="19" t="str">
        <f t="shared" si="12"/>
        <v>-</v>
      </c>
      <c r="K54" s="19" t="str">
        <f t="shared" si="13"/>
        <v>-</v>
      </c>
      <c r="L54" s="19" t="str">
        <f t="shared" si="14"/>
        <v>-</v>
      </c>
      <c r="M54" s="19" t="str">
        <f t="shared" si="15"/>
        <v>-</v>
      </c>
    </row>
    <row r="55" spans="1:13" x14ac:dyDescent="0.25">
      <c r="A55" s="56"/>
      <c r="B55" s="51"/>
      <c r="C55" s="51"/>
      <c r="D55" s="51"/>
      <c r="E55" s="51"/>
      <c r="F55" s="51"/>
      <c r="G55" s="51"/>
      <c r="H55" s="19">
        <f t="shared" si="16"/>
        <v>2.0833333333333335</v>
      </c>
      <c r="I55" s="19">
        <f t="shared" si="11"/>
        <v>0</v>
      </c>
      <c r="J55" s="19" t="str">
        <f t="shared" si="12"/>
        <v>-</v>
      </c>
      <c r="K55" s="19" t="str">
        <f t="shared" si="13"/>
        <v>-</v>
      </c>
      <c r="L55" s="19" t="str">
        <f t="shared" si="14"/>
        <v>-</v>
      </c>
      <c r="M55" s="19" t="str">
        <f t="shared" si="15"/>
        <v>-</v>
      </c>
    </row>
    <row r="56" spans="1:13" x14ac:dyDescent="0.25">
      <c r="A56" s="56"/>
      <c r="B56" s="51"/>
      <c r="C56" s="51"/>
      <c r="D56" s="51"/>
      <c r="E56" s="51"/>
      <c r="F56" s="51"/>
      <c r="G56" s="51"/>
      <c r="H56" s="19">
        <f t="shared" si="16"/>
        <v>2.0833333333333335</v>
      </c>
      <c r="I56" s="19">
        <f t="shared" si="11"/>
        <v>0</v>
      </c>
      <c r="J56" s="19" t="str">
        <f t="shared" si="12"/>
        <v>-</v>
      </c>
      <c r="K56" s="19" t="str">
        <f t="shared" si="13"/>
        <v>-</v>
      </c>
      <c r="L56" s="19" t="str">
        <f t="shared" si="14"/>
        <v>-</v>
      </c>
      <c r="M56" s="19" t="str">
        <f t="shared" si="15"/>
        <v>-</v>
      </c>
    </row>
    <row r="57" spans="1:13" x14ac:dyDescent="0.25">
      <c r="A57" s="56"/>
      <c r="B57" s="51"/>
      <c r="C57" s="51"/>
      <c r="D57" s="51"/>
      <c r="E57" s="51"/>
      <c r="F57" s="51"/>
      <c r="G57" s="51"/>
      <c r="H57" s="19">
        <f t="shared" si="16"/>
        <v>2.0833333333333335</v>
      </c>
      <c r="I57" s="19">
        <f t="shared" si="11"/>
        <v>0</v>
      </c>
      <c r="J57" s="19" t="str">
        <f t="shared" si="12"/>
        <v>-</v>
      </c>
      <c r="K57" s="19" t="str">
        <f t="shared" si="13"/>
        <v>-</v>
      </c>
      <c r="L57" s="19" t="str">
        <f t="shared" si="14"/>
        <v>-</v>
      </c>
      <c r="M57" s="19" t="str">
        <f t="shared" si="15"/>
        <v>-</v>
      </c>
    </row>
    <row r="58" spans="1:13" x14ac:dyDescent="0.25">
      <c r="A58" s="56"/>
      <c r="B58" s="51"/>
      <c r="C58" s="51"/>
      <c r="D58" s="51"/>
      <c r="E58" s="51"/>
      <c r="F58" s="51"/>
      <c r="G58" s="51"/>
      <c r="H58" s="19">
        <f t="shared" si="16"/>
        <v>2.0833333333333335</v>
      </c>
      <c r="I58" s="19">
        <f t="shared" si="11"/>
        <v>0</v>
      </c>
      <c r="J58" s="19" t="str">
        <f t="shared" si="12"/>
        <v>-</v>
      </c>
      <c r="K58" s="19" t="str">
        <f t="shared" si="13"/>
        <v>-</v>
      </c>
      <c r="L58" s="19" t="str">
        <f t="shared" si="14"/>
        <v>-</v>
      </c>
      <c r="M58" s="19" t="str">
        <f t="shared" si="15"/>
        <v>-</v>
      </c>
    </row>
    <row r="59" spans="1:13" x14ac:dyDescent="0.25">
      <c r="A59" s="56"/>
      <c r="B59" s="51"/>
      <c r="C59" s="51"/>
      <c r="D59" s="51"/>
      <c r="E59" s="51"/>
      <c r="F59" s="51"/>
      <c r="G59" s="51"/>
      <c r="H59" s="19">
        <f t="shared" si="16"/>
        <v>2.0833333333333335</v>
      </c>
      <c r="I59" s="19">
        <f t="shared" si="11"/>
        <v>0</v>
      </c>
      <c r="J59" s="19" t="str">
        <f t="shared" si="12"/>
        <v>-</v>
      </c>
      <c r="K59" s="19" t="str">
        <f t="shared" si="13"/>
        <v>-</v>
      </c>
      <c r="L59" s="19" t="str">
        <f t="shared" si="14"/>
        <v>-</v>
      </c>
      <c r="M59" s="19" t="str">
        <f t="shared" si="15"/>
        <v>-</v>
      </c>
    </row>
    <row r="60" spans="1:13" x14ac:dyDescent="0.25">
      <c r="A60" s="56"/>
      <c r="B60" s="51"/>
      <c r="C60" s="51"/>
      <c r="D60" s="51"/>
      <c r="E60" s="51"/>
      <c r="F60" s="51"/>
      <c r="G60" s="51"/>
      <c r="H60" s="19">
        <f t="shared" si="16"/>
        <v>2.0833333333333335</v>
      </c>
      <c r="I60" s="19">
        <f t="shared" si="11"/>
        <v>0</v>
      </c>
      <c r="J60" s="19" t="str">
        <f t="shared" si="12"/>
        <v>-</v>
      </c>
      <c r="K60" s="19" t="str">
        <f t="shared" si="13"/>
        <v>-</v>
      </c>
      <c r="L60" s="19" t="str">
        <f t="shared" si="14"/>
        <v>-</v>
      </c>
      <c r="M60" s="19" t="str">
        <f t="shared" si="15"/>
        <v>-</v>
      </c>
    </row>
    <row r="61" spans="1:13" x14ac:dyDescent="0.25">
      <c r="A61" s="56"/>
      <c r="B61" s="51"/>
      <c r="C61" s="51"/>
      <c r="D61" s="51"/>
      <c r="E61" s="51"/>
      <c r="F61" s="51"/>
      <c r="G61" s="51"/>
      <c r="H61" s="19">
        <f t="shared" si="16"/>
        <v>2.0833333333333335</v>
      </c>
      <c r="I61" s="19">
        <f t="shared" si="11"/>
        <v>0</v>
      </c>
      <c r="J61" s="19" t="str">
        <f t="shared" si="12"/>
        <v>-</v>
      </c>
      <c r="K61" s="19" t="str">
        <f t="shared" si="13"/>
        <v>-</v>
      </c>
      <c r="L61" s="19" t="str">
        <f t="shared" si="14"/>
        <v>-</v>
      </c>
      <c r="M61" s="19" t="str">
        <f t="shared" si="15"/>
        <v>-</v>
      </c>
    </row>
    <row r="62" spans="1:13" x14ac:dyDescent="0.25">
      <c r="A62" s="56"/>
      <c r="B62" s="51"/>
      <c r="C62" s="51"/>
      <c r="D62" s="51"/>
      <c r="E62" s="51"/>
      <c r="F62" s="51"/>
      <c r="G62" s="51"/>
      <c r="H62" s="19">
        <f t="shared" si="16"/>
        <v>2.0833333333333335</v>
      </c>
      <c r="I62" s="19">
        <f t="shared" si="11"/>
        <v>0</v>
      </c>
      <c r="J62" s="19" t="str">
        <f t="shared" si="12"/>
        <v>-</v>
      </c>
      <c r="K62" s="19" t="str">
        <f t="shared" si="13"/>
        <v>-</v>
      </c>
      <c r="L62" s="19" t="str">
        <f t="shared" si="14"/>
        <v>-</v>
      </c>
      <c r="M62" s="19" t="str">
        <f t="shared" si="15"/>
        <v>-</v>
      </c>
    </row>
    <row r="63" spans="1:13" x14ac:dyDescent="0.25">
      <c r="A63" s="56"/>
      <c r="B63" s="51"/>
      <c r="C63" s="51"/>
      <c r="D63" s="51"/>
      <c r="E63" s="51"/>
      <c r="F63" s="51"/>
      <c r="G63" s="51"/>
      <c r="H63" s="19">
        <f t="shared" si="16"/>
        <v>2.0833333333333335</v>
      </c>
      <c r="I63" s="19">
        <f t="shared" si="11"/>
        <v>0</v>
      </c>
      <c r="J63" s="19" t="str">
        <f t="shared" si="12"/>
        <v>-</v>
      </c>
      <c r="K63" s="19" t="str">
        <f t="shared" si="13"/>
        <v>-</v>
      </c>
      <c r="L63" s="19" t="str">
        <f t="shared" si="14"/>
        <v>-</v>
      </c>
      <c r="M63" s="19" t="str">
        <f t="shared" si="15"/>
        <v>-</v>
      </c>
    </row>
    <row r="64" spans="1:13" x14ac:dyDescent="0.25">
      <c r="A64" s="56"/>
      <c r="B64" s="51"/>
      <c r="C64" s="51"/>
      <c r="D64" s="51"/>
      <c r="E64" s="51"/>
      <c r="F64" s="51"/>
      <c r="G64" s="51"/>
      <c r="H64" s="19">
        <f t="shared" si="16"/>
        <v>2.0833333333333335</v>
      </c>
      <c r="I64" s="19">
        <f t="shared" si="11"/>
        <v>0</v>
      </c>
      <c r="J64" s="19" t="str">
        <f t="shared" si="12"/>
        <v>-</v>
      </c>
      <c r="K64" s="19" t="str">
        <f t="shared" si="13"/>
        <v>-</v>
      </c>
      <c r="L64" s="19" t="str">
        <f t="shared" si="14"/>
        <v>-</v>
      </c>
      <c r="M64" s="19" t="str">
        <f t="shared" si="15"/>
        <v>-</v>
      </c>
    </row>
    <row r="65" spans="1:13" x14ac:dyDescent="0.25">
      <c r="A65" s="56"/>
      <c r="B65" s="51"/>
      <c r="C65" s="51"/>
      <c r="D65" s="51"/>
      <c r="E65" s="51"/>
      <c r="F65" s="51"/>
      <c r="G65" s="51"/>
      <c r="H65" s="19">
        <f t="shared" si="16"/>
        <v>2.0833333333333335</v>
      </c>
      <c r="I65" s="19">
        <f t="shared" si="11"/>
        <v>0</v>
      </c>
      <c r="J65" s="19" t="str">
        <f t="shared" si="12"/>
        <v>-</v>
      </c>
      <c r="K65" s="19" t="str">
        <f t="shared" si="13"/>
        <v>-</v>
      </c>
      <c r="L65" s="19" t="str">
        <f t="shared" si="14"/>
        <v>-</v>
      </c>
      <c r="M65" s="19" t="str">
        <f t="shared" si="15"/>
        <v>-</v>
      </c>
    </row>
    <row r="66" spans="1:13" x14ac:dyDescent="0.25">
      <c r="A66" s="61" t="s">
        <v>26</v>
      </c>
      <c r="B66" s="8">
        <f>SUM(B49:B65)</f>
        <v>0</v>
      </c>
      <c r="C66" s="8">
        <f t="shared" ref="C66:E66" si="17">SUM(C49:C65)</f>
        <v>0</v>
      </c>
      <c r="D66" s="8">
        <f t="shared" si="17"/>
        <v>0</v>
      </c>
      <c r="E66" s="8">
        <f t="shared" si="17"/>
        <v>0</v>
      </c>
      <c r="F66" s="9"/>
      <c r="G66" s="9"/>
      <c r="H66" s="8" t="s">
        <v>26</v>
      </c>
      <c r="I66" s="11">
        <f>SUM(I49:I65)</f>
        <v>0</v>
      </c>
      <c r="J66" s="23">
        <f>SUM(J49:J65)</f>
        <v>0</v>
      </c>
      <c r="K66" s="23">
        <f t="shared" ref="K66:M66" si="18">SUM(K49:K65)</f>
        <v>0</v>
      </c>
      <c r="L66" s="23">
        <f t="shared" si="18"/>
        <v>0</v>
      </c>
      <c r="M66" s="23">
        <f t="shared" si="18"/>
        <v>0</v>
      </c>
    </row>
    <row r="67" spans="1:13" x14ac:dyDescent="0.25">
      <c r="J67" s="24" t="str">
        <f>IFERROR(J66/B66,"0")</f>
        <v>0</v>
      </c>
      <c r="K67" s="24" t="str">
        <f>IFERROR(K66/C66,"0")</f>
        <v>0</v>
      </c>
      <c r="L67" s="24" t="str">
        <f>IFERROR(L66/D66,"0")</f>
        <v>0</v>
      </c>
      <c r="M67" s="24" t="str">
        <f>IFERROR(M66/E66,"0")</f>
        <v>0</v>
      </c>
    </row>
  </sheetData>
  <mergeCells count="6">
    <mergeCell ref="F46:G46"/>
    <mergeCell ref="B46:E46"/>
    <mergeCell ref="J46:M46"/>
    <mergeCell ref="G17:H17"/>
    <mergeCell ref="B17:F17"/>
    <mergeCell ref="K17:O17"/>
  </mergeCells>
  <pageMargins left="0.25" right="0.25" top="0.75" bottom="0.75" header="0.3" footer="0.3"/>
  <pageSetup paperSize="9" scale="8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1.Introduction and Instructions</vt:lpstr>
      <vt:lpstr>Instructions</vt:lpstr>
      <vt:lpstr>Farm ID</vt:lpstr>
      <vt:lpstr>Dashboard</vt:lpstr>
      <vt:lpstr>How to lift productivity</vt:lpstr>
      <vt:lpstr>Land &amp; Stocking</vt:lpstr>
      <vt:lpstr>Sheep production</vt:lpstr>
      <vt:lpstr>Cattle production</vt:lpstr>
      <vt:lpstr>4. Livestock Sales Summary</vt:lpstr>
      <vt:lpstr>5. Livestock Purchased Summary</vt:lpstr>
      <vt:lpstr>Dashboard!Print_Area</vt:lpstr>
      <vt:lpstr>'Farm ID'!Print_Area</vt:lpstr>
      <vt:lpstr>'How to lift productivity'!Print_Area</vt:lpstr>
      <vt:lpstr>Instructions!Print_Area</vt:lpstr>
      <vt:lpstr>'Land &amp; Stocking'!Print_Area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Grant</dc:creator>
  <cp:lastModifiedBy>SAC</cp:lastModifiedBy>
  <cp:lastPrinted>2017-09-28T16:07:27Z</cp:lastPrinted>
  <dcterms:created xsi:type="dcterms:W3CDTF">2014-09-08T12:46:21Z</dcterms:created>
  <dcterms:modified xsi:type="dcterms:W3CDTF">2017-10-31T14:54:10Z</dcterms:modified>
</cp:coreProperties>
</file>