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scotrural.sharepoint.com/teams/Portree_Private_File_Storage/Shared Documents/General/FAS 2026/West Coast Calves/Publication/"/>
    </mc:Choice>
  </mc:AlternateContent>
  <xr:revisionPtr revIDLastSave="107" documentId="8_{F771A129-42FE-43AB-8E2C-37DB54AAAB17}" xr6:coauthVersionLast="47" xr6:coauthVersionMax="47" xr10:uidLastSave="{FB0F242D-8F66-43E5-91B9-9CD5400224AC}"/>
  <bookViews>
    <workbookView xWindow="-28920" yWindow="-120" windowWidth="29040" windowHeight="15720" firstSheet="2" activeTab="2" xr2:uid="{FBFABBA7-E1CC-4AF4-8539-EEC4778692FB}"/>
  </bookViews>
  <sheets>
    <sheet name="Intro &amp; Information" sheetId="4" r:id="rId1"/>
    <sheet name="Data Input" sheetId="1" r:id="rId2"/>
    <sheet name="Output - Profitability" sheetId="2" r:id="rId3"/>
    <sheet name="Ration &amp; Cost Calculator" sheetId="5" r:id="rId4"/>
    <sheet name="Background Data"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E14" i="2"/>
  <c r="D14" i="2"/>
  <c r="C14" i="2"/>
  <c r="F11" i="1"/>
  <c r="C11" i="1"/>
  <c r="D11" i="1"/>
  <c r="E11" i="1"/>
  <c r="I12" i="5"/>
  <c r="I13" i="5"/>
  <c r="I14" i="5"/>
  <c r="I15" i="5"/>
  <c r="I16" i="5"/>
  <c r="I17" i="5"/>
  <c r="I18" i="5"/>
  <c r="I19" i="5"/>
  <c r="I20" i="5"/>
  <c r="I11" i="5"/>
  <c r="D20" i="5"/>
  <c r="D12" i="5"/>
  <c r="D13" i="5"/>
  <c r="D14" i="5"/>
  <c r="D15" i="5"/>
  <c r="D16" i="5"/>
  <c r="D17" i="5"/>
  <c r="D18" i="5"/>
  <c r="D19" i="5"/>
  <c r="D11" i="5"/>
  <c r="M15" i="5"/>
  <c r="M16" i="5"/>
  <c r="C6" i="5"/>
  <c r="M14" i="5" s="1"/>
  <c r="C12" i="1"/>
  <c r="L15" i="5" l="1"/>
  <c r="L14" i="5"/>
  <c r="L16" i="5" s="1"/>
  <c r="I23" i="5"/>
  <c r="D4" i="2"/>
  <c r="E4" i="2"/>
  <c r="F4" i="2"/>
  <c r="C4" i="2"/>
  <c r="E17" i="2"/>
  <c r="F17" i="2"/>
  <c r="E18" i="2"/>
  <c r="F18" i="2"/>
  <c r="E12" i="1"/>
  <c r="F12" i="1"/>
  <c r="D18" i="2"/>
  <c r="D17" i="2"/>
  <c r="D12" i="1"/>
  <c r="C18" i="2"/>
  <c r="C17" i="2"/>
  <c r="F7" i="2" l="1"/>
  <c r="E7" i="2"/>
  <c r="D7" i="2"/>
  <c r="D8" i="2" s="1"/>
  <c r="C7" i="2"/>
  <c r="C8" i="2" s="1"/>
  <c r="E8" i="2" l="1"/>
  <c r="E10" i="2" s="1"/>
  <c r="F8" i="2"/>
  <c r="F10" i="2" s="1"/>
  <c r="F9" i="2"/>
  <c r="E9" i="2"/>
  <c r="D10" i="2"/>
  <c r="D21" i="2" s="1"/>
  <c r="D9" i="2"/>
  <c r="C9" i="2"/>
  <c r="C10" i="2"/>
  <c r="C21" i="2" s="1"/>
  <c r="F25" i="1" l="1"/>
  <c r="F21" i="2"/>
  <c r="F11" i="2"/>
  <c r="F22" i="2" s="1"/>
  <c r="E21" i="2"/>
  <c r="E11" i="2"/>
  <c r="E22" i="2" s="1"/>
  <c r="E25" i="1"/>
  <c r="D11" i="2"/>
  <c r="D22" i="2" s="1"/>
  <c r="C11" i="2"/>
  <c r="C22" i="2" s="1"/>
  <c r="D25" i="1"/>
  <c r="C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tc={3B272D69-9581-414F-9AEB-E828F47A6D97}</author>
  </authors>
  <commentList>
    <comment ref="B20" authorId="0" shapeId="0" xr:uid="{3B272D69-9581-414F-9AEB-E828F47A6D97}">
      <text>
        <t>[Threaded comment]
Your version of Excel allows you to read this threaded comment; however, any edits to it will get removed if the file is opened in a newer version of Excel. Learn more: https://go.microsoft.com/fwlink/?linkid=870924
Comment:
    This will be for powdered mineral/bucket but wouldn’t take into account a bolus or drench as these would be a one off?</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<sst xmlns="http://schemas.openxmlformats.org/spreadsheetml/2006/main" count="128" uniqueCount="104">
  <si>
    <t>Welcome to the profitable cow calculator. The aim of the following calculator is to be used as a tool to determine the potential profitability of your herd based on a calf margin over feed costs. Some useful production benchmarks can also be calculated such as cow efficiency and value of calf at weaning. The calculator also includes a handy suckler ration and cost calculator tool allowing rations to be checked.</t>
  </si>
  <si>
    <t>Suggested Scenarios</t>
  </si>
  <si>
    <t xml:space="preserve">Housed Vs Outwintered, Autumn Vs Spring Calving Cows, Comparing cows of different body weight, comparing performance on farm by breed, comparing cows summered on different systems or performance of calves feeding creep or not. </t>
  </si>
  <si>
    <t>Filled Cells</t>
  </si>
  <si>
    <t>Data Input (all other cells are locked)</t>
  </si>
  <si>
    <t>Data Input Tab</t>
  </si>
  <si>
    <t xml:space="preserve">Description </t>
  </si>
  <si>
    <t>Average Suckler Weight (kg)</t>
  </si>
  <si>
    <t xml:space="preserve">Weight of the suckler cow at weaning (kg) </t>
  </si>
  <si>
    <t>Stage of Production</t>
  </si>
  <si>
    <t>Dry or Lactation - Please use drop down menu</t>
  </si>
  <si>
    <t>Ration Cost (£/cow/day)</t>
  </si>
  <si>
    <t>Total Ration cost (Forage + Any other feeds &amp; Minerals (£/cow/day) - Can be calculated using the ration tab</t>
  </si>
  <si>
    <t>Ration Dry Matter as rationed (kg)</t>
  </si>
  <si>
    <t xml:space="preserve">Dry Matter (in Kg) of the suckler ration (as an average) </t>
  </si>
  <si>
    <t>Ration cost / kg DM</t>
  </si>
  <si>
    <t>Ration cost £/kg DM consumed - Self Calculating</t>
  </si>
  <si>
    <t>Predicted Daily Dry Matter Intake (kg)</t>
  </si>
  <si>
    <t xml:space="preserve">Based on predicted intake as a % of liveweight for stage of production. </t>
  </si>
  <si>
    <t>Length of time housed/wintered</t>
  </si>
  <si>
    <t xml:space="preserve">Number of days on wintering system (either housed or outwinted) </t>
  </si>
  <si>
    <t>Total number of sucklers in system</t>
  </si>
  <si>
    <t>Total cows on farm</t>
  </si>
  <si>
    <t>Bedding Costs (£/day)</t>
  </si>
  <si>
    <t>Total bedding costs in £/day if applicable</t>
  </si>
  <si>
    <t>Calf Weight at Weaning (200days) (kg)</t>
  </si>
  <si>
    <t xml:space="preserve">Calf weight at 200 days corrected for birthweight of calf. Weaning weight can also be used if calf age is consistent. </t>
  </si>
  <si>
    <t>Feed costs to weaning (£/calf/day)</t>
  </si>
  <si>
    <t>Additional feed for calves pre weaning i.e. Calf Creep Costs (£/calf/day)</t>
  </si>
  <si>
    <t>Length of feeding time (Days)</t>
  </si>
  <si>
    <t>Time calves fed creep in days</t>
  </si>
  <si>
    <t xml:space="preserve">Calf Value at weaning (ppkg) </t>
  </si>
  <si>
    <t xml:space="preserve">Value of calf at weaning (i.e. store value at point of weaning) </t>
  </si>
  <si>
    <t xml:space="preserve">Output - Profitability </t>
  </si>
  <si>
    <t>Description</t>
  </si>
  <si>
    <t>Daily Ration Cost (£/day)</t>
  </si>
  <si>
    <t>Total daily feed costs  (£/Cow/Day)</t>
  </si>
  <si>
    <t>Total Daily Costs (£/day)</t>
  </si>
  <si>
    <t>Total daily costs to keep the suckler including bedding if applicable (£/Cow/Day)</t>
  </si>
  <si>
    <t>Ration Cost (whole winter)  (£)</t>
  </si>
  <si>
    <t>Ration cost of total wintering period (£/cow)</t>
  </si>
  <si>
    <t>Total Costs (whole winter/cow) (£)</t>
  </si>
  <si>
    <t>Total costs including bedding over whole winter (£/cow)</t>
  </si>
  <si>
    <t xml:space="preserve">Cow Efficiency </t>
  </si>
  <si>
    <t>Calf weight as a % of cow weight at weaning</t>
  </si>
  <si>
    <t>Calf Value at Weaning</t>
  </si>
  <si>
    <t>Market value of suckled calf at point of weaning(£)</t>
  </si>
  <si>
    <t>Calf Costs to weaning</t>
  </si>
  <si>
    <t>Additional cost to keep calf till weaning above costs of keeping the dam (£)</t>
  </si>
  <si>
    <t>Scenario ID 1</t>
  </si>
  <si>
    <t>Home Outside Wintering 700kg</t>
  </si>
  <si>
    <t>Inside Home Wintering 700kg</t>
  </si>
  <si>
    <t>Home Outside Wintering 600kg</t>
  </si>
  <si>
    <t>Inside Home Wintering 600kg</t>
  </si>
  <si>
    <t>Coloured boxes = Data input</t>
  </si>
  <si>
    <t>Suckler Details</t>
  </si>
  <si>
    <t xml:space="preserve">Dry </t>
  </si>
  <si>
    <t>Length of time housed/wintered (Days)</t>
  </si>
  <si>
    <t>Calf Details</t>
  </si>
  <si>
    <t>Calf margin over feed costs*</t>
  </si>
  <si>
    <t>*please note that the calf margin over feed cost value does not include any other costs other than bedding. Fuel, machinery, electricity, labour, vet/med, rent &amp; sundries should also be considered for a full enterprise costing</t>
  </si>
  <si>
    <t>ID</t>
  </si>
  <si>
    <t>Suckler Costs</t>
  </si>
  <si>
    <t>Daily Ration Cost (£/cow/day)</t>
  </si>
  <si>
    <t>Total Daily Costs (£/cow/day)</t>
  </si>
  <si>
    <t>Ration Cost (whole winter/cow)  (£)</t>
  </si>
  <si>
    <t>Total Herd Costs (whole winter/herd) (£)</t>
  </si>
  <si>
    <t xml:space="preserve">Suckler Performance </t>
  </si>
  <si>
    <t>Calf</t>
  </si>
  <si>
    <t>Calf Value at Weaning (£/calf)</t>
  </si>
  <si>
    <t>Calf Costs to weaning (£/calf)</t>
  </si>
  <si>
    <t>Margin over feed cost (whole herd)</t>
  </si>
  <si>
    <t xml:space="preserve">*please note that the calf margin over feed cost value does not include any other costs other than bedding such as Fuel, machinery, electricity, labour, vet/med, rent etc that all should also be considered in full enterprise costings. </t>
  </si>
  <si>
    <t>Cow Weight</t>
  </si>
  <si>
    <t>kg</t>
  </si>
  <si>
    <t>Cow DMI (Dry)</t>
  </si>
  <si>
    <t>kg/day</t>
  </si>
  <si>
    <t>Feed</t>
  </si>
  <si>
    <t>kg/cow/day</t>
  </si>
  <si>
    <t>kg DM/day</t>
  </si>
  <si>
    <t>Dry Matter (%)</t>
  </si>
  <si>
    <t>ME (MJ/kg DM)</t>
  </si>
  <si>
    <t>Crude Protein (% DM)</t>
  </si>
  <si>
    <t>Cost of feed £/T</t>
  </si>
  <si>
    <t>£/cow/day</t>
  </si>
  <si>
    <t>Forage 1</t>
  </si>
  <si>
    <t>Forage 2</t>
  </si>
  <si>
    <t>Forage 3</t>
  </si>
  <si>
    <t>Ration output</t>
  </si>
  <si>
    <t>Actual</t>
  </si>
  <si>
    <t>Target</t>
  </si>
  <si>
    <t>Wholecrop</t>
  </si>
  <si>
    <t>Total DMI (kg/cow)</t>
  </si>
  <si>
    <t>Straw</t>
  </si>
  <si>
    <t>Total MJ intake*</t>
  </si>
  <si>
    <t>Concentrate</t>
  </si>
  <si>
    <t>Crude protein % DM</t>
  </si>
  <si>
    <t xml:space="preserve">*please note this is a rough guide and may differ depending on cow condition and proximity to calving or stage or lactation for a more accurate prediction please contact your nutritionist. </t>
  </si>
  <si>
    <t>Liquid feed (e.g. molasses. pot ale)</t>
  </si>
  <si>
    <t>Other? E.g. draff?</t>
  </si>
  <si>
    <t>Minerals</t>
  </si>
  <si>
    <t>Total ration cost £/cow/day</t>
  </si>
  <si>
    <t>Percentage DMI of BW</t>
  </si>
  <si>
    <t>Lactation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</si>
</sst>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0">
    <font>
      <sz val="12"/>
      <color theme="1"/>
      <name val="DM Sans"/>
      <family val="2"/>
    </font>
    <font>
      <b/>
      <sz val="12"/>
      <color theme="1"/>
      <name val="DM Sans"/>
    </font>
    <font>
      <sz val="16"/>
      <color theme="1"/>
      <name val="DM Sans"/>
    </font>
    <font>
      <b/>
      <sz val="16"/>
      <color theme="1"/>
      <name val="DM Sans"/>
    </font>
    <font>
      <sz val="16"/>
      <name val="DM Sans"/>
    </font>
    <font>
      <b/>
      <sz val="16"/>
      <color theme="0"/>
      <name val="DM Sans"/>
    </font>
    <font>
      <b/>
      <sz val="12"/>
      <color theme="0"/>
      <name val="DM Sans"/>
    </font>
    <font>
      <sz val="12"/>
      <name val="DM Sans"/>
    </font>
    <font>
      <b/>
      <sz val="12"/>
      <name val="DM Sans"/>
    </font>
    <font>
      <sz val="12"/>
      <color theme="0"/>
      <name val="DM Sans"/>
    </font>
  </fonts>
  <fills count="1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10"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0" fillId="9" borderId="5" xfId="0"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protection locked="0"/>
    </xf>
    <xf numFmtId="164" fontId="0" fillId="7" borderId="1" xfId="0" applyNumberFormat="1" applyFill="1" applyBorder="1" applyAlignment="1" applyProtection="1">
      <alignment horizontal="center" vertical="center"/>
      <protection locked="0"/>
    </xf>
    <xf numFmtId="164" fontId="0" fillId="8" borderId="1" xfId="0" applyNumberFormat="1" applyFill="1" applyBorder="1" applyAlignment="1" applyProtection="1">
      <alignment horizontal="center" vertical="center"/>
      <protection locked="0"/>
    </xf>
    <xf numFmtId="164" fontId="0" fillId="9" borderId="5" xfId="0" applyNumberFormat="1" applyFill="1" applyBorder="1" applyAlignment="1" applyProtection="1">
      <alignment horizontal="center" vertical="center"/>
      <protection locked="0"/>
    </xf>
    <xf numFmtId="164" fontId="0" fillId="0" borderId="1" xfId="0" applyNumberFormat="1" applyBorder="1" applyAlignment="1">
      <alignment horizontal="center" vertical="center"/>
    </xf>
    <xf numFmtId="164" fontId="0" fillId="0" borderId="5" xfId="0" applyNumberFormat="1" applyBorder="1" applyAlignment="1">
      <alignment horizontal="center" vertical="center"/>
    </xf>
    <xf numFmtId="0" fontId="0" fillId="0" borderId="0" xfId="0" applyAlignment="1">
      <alignment horizontal="center" wrapText="1"/>
    </xf>
    <xf numFmtId="0" fontId="0" fillId="0" borderId="1" xfId="0" applyBorder="1"/>
    <xf numFmtId="0" fontId="1" fillId="0" borderId="0" xfId="0" applyFont="1" applyAlignment="1">
      <alignment horizontal="center"/>
    </xf>
    <xf numFmtId="0" fontId="1" fillId="0" borderId="0" xfId="0" applyFont="1"/>
    <xf numFmtId="0" fontId="1" fillId="0" borderId="0" xfId="0" applyFont="1" applyAlignment="1">
      <alignment wrapText="1"/>
    </xf>
    <xf numFmtId="0" fontId="1" fillId="0" borderId="0" xfId="0" applyFont="1" applyAlignment="1">
      <alignment wrapText="1" shrinkToFit="1"/>
    </xf>
    <xf numFmtId="0" fontId="2" fillId="0" borderId="19" xfId="0" applyFont="1" applyBorder="1"/>
    <xf numFmtId="0" fontId="2" fillId="0" borderId="0" xfId="0" applyFont="1"/>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2" fillId="3" borderId="1"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 xfId="0" applyFont="1" applyBorder="1" applyAlignment="1">
      <alignment horizontal="center" vertical="center"/>
    </xf>
    <xf numFmtId="0" fontId="2" fillId="0" borderId="0" xfId="0" applyFont="1" applyAlignment="1">
      <alignment horizontal="center" vertical="center"/>
    </xf>
    <xf numFmtId="0" fontId="4" fillId="10" borderId="0" xfId="0" applyFont="1" applyFill="1"/>
    <xf numFmtId="0" fontId="3" fillId="0" borderId="1" xfId="0" applyFont="1" applyBorder="1"/>
    <xf numFmtId="0" fontId="3" fillId="0" borderId="1" xfId="0" applyFont="1" applyBorder="1" applyAlignment="1">
      <alignment horizontal="center"/>
    </xf>
    <xf numFmtId="0" fontId="2" fillId="0" borderId="1" xfId="0" applyFont="1" applyBorder="1" applyAlignment="1">
      <alignment horizontal="center"/>
    </xf>
    <xf numFmtId="164" fontId="2" fillId="0" borderId="1" xfId="0" applyNumberFormat="1" applyFont="1" applyBorder="1" applyAlignment="1">
      <alignment horizontal="center"/>
    </xf>
    <xf numFmtId="165" fontId="2" fillId="0" borderId="1" xfId="0" applyNumberFormat="1" applyFont="1" applyBorder="1" applyAlignment="1">
      <alignment horizontal="center"/>
    </xf>
    <xf numFmtId="0" fontId="3" fillId="0" borderId="1" xfId="0" applyFont="1" applyBorder="1" applyAlignment="1">
      <alignment wrapText="1"/>
    </xf>
    <xf numFmtId="9" fontId="2" fillId="0" borderId="1" xfId="0" applyNumberFormat="1" applyFont="1" applyBorder="1" applyAlignment="1">
      <alignment horizontal="center"/>
    </xf>
    <xf numFmtId="0" fontId="3" fillId="0" borderId="1" xfId="0" applyFont="1" applyBorder="1" applyAlignment="1">
      <alignment wrapText="1" shrinkToFit="1"/>
    </xf>
    <xf numFmtId="164" fontId="3" fillId="0" borderId="11" xfId="0" applyNumberFormat="1" applyFont="1" applyBorder="1"/>
    <xf numFmtId="0" fontId="5" fillId="12" borderId="1" xfId="0" applyFont="1" applyFill="1" applyBorder="1" applyAlignment="1">
      <alignment horizontal="center"/>
    </xf>
    <xf numFmtId="0" fontId="5" fillId="12" borderId="1" xfId="0" applyFont="1" applyFill="1" applyBorder="1"/>
    <xf numFmtId="0" fontId="5" fillId="12" borderId="20" xfId="0" applyFont="1" applyFill="1" applyBorder="1"/>
    <xf numFmtId="165" fontId="2" fillId="0" borderId="20" xfId="0" applyNumberFormat="1" applyFont="1" applyBorder="1" applyAlignment="1">
      <alignment horizontal="center"/>
    </xf>
    <xf numFmtId="0" fontId="2" fillId="0" borderId="20" xfId="0" applyFont="1" applyBorder="1" applyAlignment="1">
      <alignment horizontal="center" vertical="center"/>
    </xf>
    <xf numFmtId="0" fontId="6" fillId="1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13" borderId="1" xfId="0" applyFont="1" applyFill="1" applyBorder="1" applyAlignment="1">
      <alignment horizontal="center" vertical="center"/>
    </xf>
    <xf numFmtId="0" fontId="1" fillId="11" borderId="1" xfId="0" applyFont="1" applyFill="1" applyBorder="1" applyAlignment="1">
      <alignment horizontal="center" vertical="center"/>
    </xf>
    <xf numFmtId="0" fontId="1" fillId="6" borderId="10" xfId="0" applyFont="1" applyFill="1" applyBorder="1" applyAlignment="1">
      <alignment horizontal="center" vertical="center"/>
    </xf>
    <xf numFmtId="0" fontId="1" fillId="6" borderId="17" xfId="0" applyFont="1" applyFill="1" applyBorder="1" applyAlignment="1">
      <alignment horizontal="center" vertical="center"/>
    </xf>
    <xf numFmtId="0" fontId="1" fillId="6" borderId="11" xfId="0" applyFont="1" applyFill="1" applyBorder="1" applyAlignment="1">
      <alignment horizontal="center" vertical="center"/>
    </xf>
    <xf numFmtId="164" fontId="0" fillId="0" borderId="7" xfId="0" applyNumberFormat="1" applyBorder="1" applyAlignment="1">
      <alignment horizontal="center" vertical="center"/>
    </xf>
    <xf numFmtId="10" fontId="0" fillId="0" borderId="7" xfId="0" applyNumberFormat="1" applyBorder="1" applyAlignment="1">
      <alignment horizontal="center" vertical="center"/>
    </xf>
    <xf numFmtId="0" fontId="1" fillId="5" borderId="2" xfId="0" applyFont="1" applyFill="1" applyBorder="1" applyAlignment="1">
      <alignment horizontal="center" vertical="center"/>
    </xf>
    <xf numFmtId="164" fontId="1" fillId="5" borderId="15" xfId="0" applyNumberFormat="1" applyFont="1" applyFill="1" applyBorder="1" applyAlignment="1">
      <alignment horizontal="center" vertical="center"/>
    </xf>
    <xf numFmtId="164" fontId="1" fillId="5" borderId="3" xfId="0" applyNumberFormat="1" applyFont="1" applyFill="1" applyBorder="1" applyAlignment="1">
      <alignment horizontal="center" vertical="center"/>
    </xf>
    <xf numFmtId="0" fontId="1" fillId="5" borderId="6" xfId="0" applyFont="1" applyFill="1" applyBorder="1" applyAlignment="1">
      <alignment horizontal="center" vertical="center"/>
    </xf>
    <xf numFmtId="164" fontId="1" fillId="5" borderId="16" xfId="0" applyNumberFormat="1" applyFont="1" applyFill="1" applyBorder="1" applyAlignment="1">
      <alignment horizontal="center" vertical="center"/>
    </xf>
    <xf numFmtId="164" fontId="1" fillId="5" borderId="7" xfId="0" applyNumberFormat="1" applyFont="1" applyFill="1" applyBorder="1" applyAlignment="1">
      <alignment horizontal="center" vertical="center"/>
    </xf>
    <xf numFmtId="0" fontId="1" fillId="5" borderId="10" xfId="0" applyFont="1" applyFill="1" applyBorder="1" applyAlignment="1">
      <alignment horizontal="center" vertical="center"/>
    </xf>
    <xf numFmtId="164" fontId="1" fillId="5" borderId="11" xfId="0" applyNumberFormat="1" applyFont="1" applyFill="1" applyBorder="1" applyAlignment="1">
      <alignment horizontal="center" vertical="center"/>
    </xf>
    <xf numFmtId="0" fontId="8" fillId="0" borderId="18" xfId="0" applyFont="1" applyBorder="1" applyAlignment="1">
      <alignment horizontal="center" vertical="center" wrapText="1"/>
    </xf>
    <xf numFmtId="164" fontId="0" fillId="0" borderId="16" xfId="0" applyNumberFormat="1" applyBorder="1" applyAlignment="1">
      <alignment horizontal="center" vertical="center"/>
    </xf>
    <xf numFmtId="0" fontId="1" fillId="2" borderId="11" xfId="0" applyFont="1" applyFill="1" applyBorder="1" applyAlignment="1" applyProtection="1">
      <alignment horizontal="center" vertical="center"/>
      <protection locked="0"/>
    </xf>
    <xf numFmtId="0" fontId="1" fillId="7" borderId="11" xfId="0" applyFont="1" applyFill="1" applyBorder="1" applyAlignment="1" applyProtection="1">
      <alignment horizontal="center" vertical="center"/>
      <protection locked="0"/>
    </xf>
    <xf numFmtId="0" fontId="1" fillId="8" borderId="11" xfId="0" applyFont="1" applyFill="1" applyBorder="1" applyAlignment="1" applyProtection="1">
      <alignment horizontal="center" vertical="center"/>
      <protection locked="0"/>
    </xf>
    <xf numFmtId="0" fontId="1" fillId="9" borderId="11" xfId="0" applyFont="1" applyFill="1" applyBorder="1" applyAlignment="1" applyProtection="1">
      <alignment horizontal="center" vertical="center"/>
      <protection locked="0"/>
    </xf>
    <xf numFmtId="164" fontId="0" fillId="2" borderId="16" xfId="0" applyNumberFormat="1" applyFill="1" applyBorder="1" applyAlignment="1" applyProtection="1">
      <alignment horizontal="center" vertical="center"/>
      <protection locked="0"/>
    </xf>
    <xf numFmtId="164" fontId="0" fillId="7" borderId="16" xfId="0" applyNumberFormat="1" applyFill="1" applyBorder="1" applyAlignment="1" applyProtection="1">
      <alignment horizontal="center" vertical="center"/>
      <protection locked="0"/>
    </xf>
    <xf numFmtId="164" fontId="0" fillId="8" borderId="16" xfId="0" applyNumberFormat="1" applyFill="1" applyBorder="1" applyAlignment="1" applyProtection="1">
      <alignment horizontal="center" vertical="center"/>
      <protection locked="0"/>
    </xf>
    <xf numFmtId="164" fontId="0" fillId="9" borderId="7" xfId="0" applyNumberFormat="1"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7" borderId="5"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164" fontId="0" fillId="2" borderId="5" xfId="0" applyNumberFormat="1" applyFill="1" applyBorder="1" applyAlignment="1" applyProtection="1">
      <alignment horizontal="center" vertical="center"/>
      <protection locked="0"/>
    </xf>
    <xf numFmtId="164" fontId="0" fillId="7" borderId="5" xfId="0" applyNumberFormat="1" applyFill="1" applyBorder="1" applyAlignment="1" applyProtection="1">
      <alignment horizontal="center" vertical="center"/>
      <protection locked="0"/>
    </xf>
    <xf numFmtId="164" fontId="0" fillId="8" borderId="5" xfId="0" applyNumberFormat="1"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7" borderId="9" xfId="0" applyFill="1" applyBorder="1" applyAlignment="1" applyProtection="1">
      <alignment horizontal="center" vertical="center"/>
      <protection locked="0"/>
    </xf>
    <xf numFmtId="0" fontId="0" fillId="8" borderId="9" xfId="0" applyFill="1" applyBorder="1" applyAlignment="1" applyProtection="1">
      <alignment horizontal="center" vertical="center"/>
      <protection locked="0"/>
    </xf>
    <xf numFmtId="0" fontId="0" fillId="9" borderId="9"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7" borderId="7" xfId="0" applyFill="1" applyBorder="1" applyAlignment="1" applyProtection="1">
      <alignment horizontal="center" vertical="center"/>
      <protection locked="0"/>
    </xf>
    <xf numFmtId="0" fontId="0" fillId="8" borderId="7" xfId="0" applyFill="1" applyBorder="1" applyAlignment="1" applyProtection="1">
      <alignment horizontal="center" vertical="center"/>
      <protection locked="0"/>
    </xf>
    <xf numFmtId="0" fontId="0" fillId="9" borderId="7" xfId="0" applyFill="1" applyBorder="1" applyAlignment="1" applyProtection="1">
      <alignment horizontal="center" vertical="center"/>
      <protection locked="0"/>
    </xf>
    <xf numFmtId="0" fontId="2" fillId="3" borderId="1" xfId="0" applyFont="1" applyFill="1" applyBorder="1" applyAlignment="1" applyProtection="1">
      <alignment horizontal="center"/>
      <protection locked="0"/>
    </xf>
    <xf numFmtId="9" fontId="2" fillId="3" borderId="1" xfId="0" applyNumberFormat="1" applyFont="1" applyFill="1" applyBorder="1" applyAlignment="1" applyProtection="1">
      <alignment horizontal="center"/>
      <protection locked="0"/>
    </xf>
    <xf numFmtId="164" fontId="2" fillId="3" borderId="1" xfId="0" applyNumberFormat="1" applyFont="1" applyFill="1" applyBorder="1" applyAlignment="1" applyProtection="1">
      <alignment horizontal="center"/>
      <protection locked="0"/>
    </xf>
    <xf numFmtId="0" fontId="0" fillId="0" borderId="0" xfId="0" applyAlignment="1">
      <alignment horizontal="left" vertical="center"/>
    </xf>
    <xf numFmtId="10" fontId="0" fillId="0" borderId="16" xfId="0" applyNumberFormat="1" applyBorder="1" applyAlignment="1">
      <alignment horizontal="center" vertical="center"/>
    </xf>
    <xf numFmtId="0" fontId="1" fillId="4" borderId="12"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3" xfId="0" applyFont="1" applyFill="1" applyBorder="1" applyAlignment="1">
      <alignment horizontal="center" vertical="center"/>
    </xf>
    <xf numFmtId="0" fontId="0" fillId="0" borderId="0" xfId="0" applyAlignment="1">
      <alignment horizontal="center" vertical="center" wrapText="1"/>
    </xf>
    <xf numFmtId="0" fontId="1" fillId="3" borderId="2"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 xfId="0" applyFont="1" applyFill="1" applyBorder="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wrapText="1"/>
    </xf>
    <xf numFmtId="0" fontId="6" fillId="12" borderId="1" xfId="0" applyFont="1" applyFill="1" applyBorder="1" applyAlignment="1">
      <alignment horizontal="center" vertical="center"/>
    </xf>
    <xf numFmtId="0" fontId="7" fillId="0" borderId="19"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0" borderId="1" xfId="0" applyBorder="1" applyAlignment="1">
      <alignment horizontal="center"/>
    </xf>
    <xf numFmtId="0" fontId="1" fillId="11" borderId="1" xfId="0" applyFont="1" applyFill="1" applyBorder="1" applyAlignment="1">
      <alignment horizontal="center"/>
    </xf>
    <xf numFmtId="0" fontId="0" fillId="0" borderId="1" xfId="0" applyBorder="1" applyAlignment="1">
      <alignment horizontal="center" wrapText="1"/>
    </xf>
    <xf numFmtId="0" fontId="1" fillId="0" borderId="2" xfId="0" applyFont="1" applyBorder="1" applyAlignment="1">
      <alignment horizontal="center" vertical="center"/>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3" fillId="0" borderId="10" xfId="0" applyFont="1" applyBorder="1" applyAlignment="1">
      <alignment horizontal="center" wrapText="1"/>
    </xf>
    <xf numFmtId="0" fontId="3" fillId="0" borderId="17" xfId="0" applyFont="1" applyBorder="1" applyAlignment="1">
      <alignment horizontal="center" wrapText="1"/>
    </xf>
    <xf numFmtId="0" fontId="2" fillId="10" borderId="1" xfId="0" applyFont="1" applyFill="1" applyBorder="1" applyAlignment="1">
      <alignment horizontal="center" wrapText="1"/>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11</xdr:col>
      <xdr:colOff>228600</xdr:colOff>
      <xdr:row>15</xdr:row>
      <xdr:rowOff>190500</xdr:rowOff>
    </xdr:from>
    <xdr:to>
      <xdr:col>11</xdr:col>
      <xdr:colOff>274319</xdr:colOff>
      <xdr:row>16</xdr:row>
      <xdr:rowOff>28575</xdr:rowOff>
    </xdr:to>
    <xdr:sp macro="" textlink="">
      <xdr:nvSpPr>
        <xdr:cNvPr id="2" name="TextBox 1">
          <a:extLst>
            <a:ext uri="{FF2B5EF4-FFF2-40B4-BE49-F238E27FC236}">
              <a16:creationId xmlns:a16="http://schemas.microsoft.com/office/drawing/2014/main" id="{063165FB-F014-EA3F-3F22-FF5D0F6042CC}"/>
            </a:ext>
          </a:extLst>
        </xdr:cNvPr>
        <xdr:cNvSpPr txBox="1"/>
      </xdr:nvSpPr>
      <xdr:spPr>
        <a:xfrm>
          <a:off x="16906875" y="2771775"/>
          <a:ext cx="45719" cy="4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Lorna MacPherson" id="{FFE08596-615C-42B2-8469-8259048791E4}" userId="S::lmacpherson@sruc.ac.uk::90689d83-163e-4608-8982-d3273070def5" providerId="AD"/>
</personList>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9747AD-E4E0-48BB-BC40-B8DEAB1B60A5}" name="Table1" displayName="Table1" ref="A1:B3" totalsRowShown="0">
  <autoFilter ref="A1:B3" xr:uid="{E29747AD-E4E0-48BB-BC40-B8DEAB1B60A5}"/>
  <tableColumns count="2">
    <tableColumn id="1" xr3:uid="{D2873BD8-AA33-4BA8-A738-6F633681C50B}" name="Stage of Production"/>
    <tableColumn id="2" xr3:uid="{ED49CDB7-5734-4F58-9643-3211D858DF67}" name="Percentage DMI of BW"/>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0" dT="2025-07-30T07:32:15.89" personId="{FFE08596-615C-42B2-8469-8259048791E4}" id="{3B272D69-9581-414F-9AEB-E828F47A6D97}">
    <text>This will be for powdered mineral/bucket but wouldn’t take into account a bolus or drench as these would be a one off?</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C343-8966-446D-9207-890AD3C132CC}">
  <sheetPr>
    <tabColor theme="9"/>
  </sheetPr>
  <dimension ref="B2:L33"/>
  <sheetViews>
    <sheetView showGridLines="0" topLeftCell="A26" zoomScale="89" zoomScaleNormal="89" workbookViewId="0">
      <selection activeCell="C8" sqref="C8"/>
    </sheetView>
  </sheetViews>
  <sheetFormatPr defaultRowHeight="16.5"/>
  <cols>
    <col min="2" max="2" width="28" bestFit="1" customWidth="1"/>
  </cols>
  <sheetData>
    <row r="2" spans="2:12" s="94" customFormat="1" ht="91.5" customHeight="1">
      <c r="B2" s="94" t="e" vm="1">
        <v>#VALUE!</v>
      </c>
      <c r="C2" s="103" t="e" vm="2">
        <v>#VALUE!</v>
      </c>
      <c r="D2" s="103"/>
      <c r="E2" s="103"/>
    </row>
    <row r="3" spans="2:12">
      <c r="B3" s="109" t="s">
        <v>0</v>
      </c>
      <c r="C3" s="109"/>
      <c r="D3" s="109"/>
      <c r="E3" s="109"/>
      <c r="F3" s="109"/>
      <c r="G3" s="109"/>
      <c r="H3" s="109"/>
      <c r="I3" s="109"/>
      <c r="J3" s="109"/>
      <c r="K3" s="109"/>
      <c r="L3" s="109"/>
    </row>
    <row r="4" spans="2:12">
      <c r="B4" s="109"/>
      <c r="C4" s="109"/>
      <c r="D4" s="109"/>
      <c r="E4" s="109"/>
      <c r="F4" s="109"/>
      <c r="G4" s="109"/>
      <c r="H4" s="109"/>
      <c r="I4" s="109"/>
      <c r="J4" s="109"/>
      <c r="K4" s="109"/>
      <c r="L4" s="109"/>
    </row>
    <row r="5" spans="2:12">
      <c r="B5" s="109"/>
      <c r="C5" s="109"/>
      <c r="D5" s="109"/>
      <c r="E5" s="109"/>
      <c r="F5" s="109"/>
      <c r="G5" s="109"/>
      <c r="H5" s="109"/>
      <c r="I5" s="109"/>
      <c r="J5" s="109"/>
      <c r="K5" s="109"/>
      <c r="L5" s="109"/>
    </row>
    <row r="6" spans="2:12">
      <c r="B6" s="109"/>
      <c r="C6" s="109"/>
      <c r="D6" s="109"/>
      <c r="E6" s="109"/>
      <c r="F6" s="109"/>
      <c r="G6" s="109"/>
      <c r="H6" s="109"/>
      <c r="I6" s="109"/>
      <c r="J6" s="109"/>
      <c r="K6" s="109"/>
      <c r="L6" s="109"/>
    </row>
    <row r="7" spans="2:12">
      <c r="B7" s="19"/>
      <c r="C7" s="19"/>
      <c r="D7" s="19"/>
      <c r="E7" s="19"/>
      <c r="F7" s="19"/>
      <c r="G7" s="19"/>
      <c r="H7" s="19"/>
      <c r="I7" s="19"/>
      <c r="J7" s="19"/>
      <c r="K7" s="19"/>
      <c r="L7" s="19"/>
    </row>
    <row r="8" spans="2:12" ht="42.95" customHeight="1">
      <c r="B8" s="50" t="s">
        <v>1</v>
      </c>
      <c r="C8" s="104" t="s">
        <v>2</v>
      </c>
      <c r="D8" s="104"/>
      <c r="E8" s="104"/>
      <c r="F8" s="104"/>
      <c r="G8" s="104"/>
      <c r="H8" s="104"/>
      <c r="I8" s="104"/>
      <c r="J8" s="104"/>
      <c r="K8" s="104"/>
      <c r="L8" s="104"/>
    </row>
    <row r="9" spans="2:12">
      <c r="B9" s="52" t="s">
        <v>3</v>
      </c>
      <c r="C9" s="111" t="s">
        <v>4</v>
      </c>
      <c r="D9" s="112"/>
      <c r="E9" s="112"/>
      <c r="F9" s="112"/>
      <c r="G9" s="112"/>
      <c r="H9" s="113"/>
    </row>
    <row r="11" spans="2:12">
      <c r="B11" s="49" t="s">
        <v>5</v>
      </c>
      <c r="C11" s="110" t="s">
        <v>6</v>
      </c>
      <c r="D11" s="110"/>
      <c r="E11" s="110"/>
      <c r="F11" s="110"/>
      <c r="G11" s="110"/>
      <c r="H11" s="110"/>
    </row>
    <row r="12" spans="2:12">
      <c r="B12" s="51" t="s">
        <v>7</v>
      </c>
      <c r="C12" s="108" t="s">
        <v>8</v>
      </c>
      <c r="D12" s="108"/>
      <c r="E12" s="108"/>
      <c r="F12" s="108"/>
      <c r="G12" s="108"/>
      <c r="H12" s="108"/>
    </row>
    <row r="13" spans="2:12">
      <c r="B13" s="51" t="s">
        <v>9</v>
      </c>
      <c r="C13" s="108" t="s">
        <v>10</v>
      </c>
      <c r="D13" s="108"/>
      <c r="E13" s="108"/>
      <c r="F13" s="108"/>
      <c r="G13" s="108"/>
      <c r="H13" s="108"/>
    </row>
    <row r="14" spans="2:12" ht="33" customHeight="1">
      <c r="B14" s="51" t="s">
        <v>11</v>
      </c>
      <c r="C14" s="104" t="s">
        <v>12</v>
      </c>
      <c r="D14" s="104"/>
      <c r="E14" s="104"/>
      <c r="F14" s="104"/>
      <c r="G14" s="104"/>
      <c r="H14" s="104"/>
    </row>
    <row r="15" spans="2:12">
      <c r="B15" s="51" t="s">
        <v>13</v>
      </c>
      <c r="C15" s="108" t="s">
        <v>14</v>
      </c>
      <c r="D15" s="108"/>
      <c r="E15" s="108"/>
      <c r="F15" s="108"/>
      <c r="G15" s="108"/>
      <c r="H15" s="108"/>
    </row>
    <row r="16" spans="2:12">
      <c r="B16" s="51" t="s">
        <v>15</v>
      </c>
      <c r="C16" s="108" t="s">
        <v>16</v>
      </c>
      <c r="D16" s="108"/>
      <c r="E16" s="108"/>
      <c r="F16" s="108"/>
      <c r="G16" s="108"/>
      <c r="H16" s="108"/>
    </row>
    <row r="17" spans="2:8">
      <c r="B17" s="51" t="s">
        <v>17</v>
      </c>
      <c r="C17" s="108" t="s">
        <v>18</v>
      </c>
      <c r="D17" s="108"/>
      <c r="E17" s="108"/>
      <c r="F17" s="108"/>
      <c r="G17" s="108"/>
      <c r="H17" s="108"/>
    </row>
    <row r="18" spans="2:8">
      <c r="B18" s="51" t="s">
        <v>19</v>
      </c>
      <c r="C18" s="108" t="s">
        <v>20</v>
      </c>
      <c r="D18" s="108"/>
      <c r="E18" s="108"/>
      <c r="F18" s="108"/>
      <c r="G18" s="108"/>
      <c r="H18" s="108"/>
    </row>
    <row r="19" spans="2:8">
      <c r="B19" s="51" t="s">
        <v>21</v>
      </c>
      <c r="C19" s="108" t="s">
        <v>22</v>
      </c>
      <c r="D19" s="108"/>
      <c r="E19" s="108"/>
      <c r="F19" s="108"/>
      <c r="G19" s="108"/>
      <c r="H19" s="108"/>
    </row>
    <row r="20" spans="2:8">
      <c r="B20" s="51" t="s">
        <v>23</v>
      </c>
      <c r="C20" s="108" t="s">
        <v>24</v>
      </c>
      <c r="D20" s="108"/>
      <c r="E20" s="108"/>
      <c r="F20" s="108"/>
      <c r="G20" s="108"/>
      <c r="H20" s="108"/>
    </row>
    <row r="21" spans="2:8" ht="42.95" customHeight="1">
      <c r="B21" s="51" t="s">
        <v>25</v>
      </c>
      <c r="C21" s="104" t="s">
        <v>26</v>
      </c>
      <c r="D21" s="104"/>
      <c r="E21" s="104"/>
      <c r="F21" s="104"/>
      <c r="G21" s="104"/>
      <c r="H21" s="104"/>
    </row>
    <row r="22" spans="2:8">
      <c r="B22" s="51" t="s">
        <v>27</v>
      </c>
      <c r="C22" s="105" t="s">
        <v>28</v>
      </c>
      <c r="D22" s="106"/>
      <c r="E22" s="106"/>
      <c r="F22" s="106"/>
      <c r="G22" s="106"/>
      <c r="H22" s="107"/>
    </row>
    <row r="23" spans="2:8">
      <c r="B23" s="51" t="s">
        <v>29</v>
      </c>
      <c r="C23" s="105" t="s">
        <v>30</v>
      </c>
      <c r="D23" s="106"/>
      <c r="E23" s="106"/>
      <c r="F23" s="106"/>
      <c r="G23" s="106"/>
      <c r="H23" s="107"/>
    </row>
    <row r="24" spans="2:8">
      <c r="B24" s="51" t="s">
        <v>31</v>
      </c>
      <c r="C24" s="105" t="s">
        <v>32</v>
      </c>
      <c r="D24" s="106"/>
      <c r="E24" s="106"/>
      <c r="F24" s="106"/>
      <c r="G24" s="106"/>
      <c r="H24" s="107"/>
    </row>
    <row r="26" spans="2:8">
      <c r="B26" s="53" t="s">
        <v>33</v>
      </c>
      <c r="C26" s="115" t="s">
        <v>34</v>
      </c>
      <c r="D26" s="115"/>
      <c r="E26" s="115"/>
      <c r="F26" s="115"/>
      <c r="G26" s="115"/>
      <c r="H26" s="115"/>
    </row>
    <row r="27" spans="2:8">
      <c r="B27" s="20" t="s">
        <v>35</v>
      </c>
      <c r="C27" s="114" t="s">
        <v>36</v>
      </c>
      <c r="D27" s="114"/>
      <c r="E27" s="114"/>
      <c r="F27" s="114"/>
      <c r="G27" s="114"/>
      <c r="H27" s="114"/>
    </row>
    <row r="28" spans="2:8">
      <c r="B28" s="20" t="s">
        <v>37</v>
      </c>
      <c r="C28" s="116" t="s">
        <v>38</v>
      </c>
      <c r="D28" s="116"/>
      <c r="E28" s="116"/>
      <c r="F28" s="116"/>
      <c r="G28" s="116"/>
      <c r="H28" s="116"/>
    </row>
    <row r="29" spans="2:8">
      <c r="B29" s="20" t="s">
        <v>39</v>
      </c>
      <c r="C29" s="114" t="s">
        <v>40</v>
      </c>
      <c r="D29" s="114"/>
      <c r="E29" s="114"/>
      <c r="F29" s="114"/>
      <c r="G29" s="114"/>
      <c r="H29" s="114"/>
    </row>
    <row r="30" spans="2:8">
      <c r="B30" s="20" t="s">
        <v>41</v>
      </c>
      <c r="C30" s="114" t="s">
        <v>42</v>
      </c>
      <c r="D30" s="114"/>
      <c r="E30" s="114"/>
      <c r="F30" s="114"/>
      <c r="G30" s="114"/>
      <c r="H30" s="114"/>
    </row>
    <row r="31" spans="2:8">
      <c r="B31" s="20" t="s">
        <v>43</v>
      </c>
      <c r="C31" s="114" t="s">
        <v>44</v>
      </c>
      <c r="D31" s="114"/>
      <c r="E31" s="114"/>
      <c r="F31" s="114"/>
      <c r="G31" s="114"/>
      <c r="H31" s="114"/>
    </row>
    <row r="32" spans="2:8">
      <c r="B32" s="20" t="s">
        <v>45</v>
      </c>
      <c r="C32" s="114" t="s">
        <v>46</v>
      </c>
      <c r="D32" s="114"/>
      <c r="E32" s="114"/>
      <c r="F32" s="114"/>
      <c r="G32" s="114"/>
      <c r="H32" s="114"/>
    </row>
    <row r="33" spans="2:8">
      <c r="B33" s="20" t="s">
        <v>47</v>
      </c>
      <c r="C33" s="114" t="s">
        <v>48</v>
      </c>
      <c r="D33" s="114"/>
      <c r="E33" s="114"/>
      <c r="F33" s="114"/>
      <c r="G33" s="114"/>
      <c r="H33" s="114"/>
    </row>
  </sheetData>
  <sheetProtection algorithmName="SHA-512" hashValue="xfOTcEjdFn3xCu6fEnzR7hsiU0ZTRQtCM1m7jUQDOIGXbxS0fBlTL9g3yRXIjpVajFy3NthU1D6zDQ0c2Px4IQ==" saltValue="GZx+42Td+y0Rq0k6b5WT/Q==" spinCount="100000" sheet="1" objects="1" scenarios="1"/>
  <mergeCells count="26">
    <mergeCell ref="C31:H31"/>
    <mergeCell ref="C32:H32"/>
    <mergeCell ref="C33:H33"/>
    <mergeCell ref="C26:H26"/>
    <mergeCell ref="C27:H27"/>
    <mergeCell ref="C28:H28"/>
    <mergeCell ref="C29:H29"/>
    <mergeCell ref="C30:H30"/>
    <mergeCell ref="C2:E2"/>
    <mergeCell ref="B3:L6"/>
    <mergeCell ref="C11:H11"/>
    <mergeCell ref="C12:H12"/>
    <mergeCell ref="C13:H13"/>
    <mergeCell ref="C8:L8"/>
    <mergeCell ref="C9:H9"/>
    <mergeCell ref="C14:H14"/>
    <mergeCell ref="C21:H21"/>
    <mergeCell ref="C22:H22"/>
    <mergeCell ref="C23:H23"/>
    <mergeCell ref="C24:H24"/>
    <mergeCell ref="C15:H15"/>
    <mergeCell ref="C16:H16"/>
    <mergeCell ref="C17:H17"/>
    <mergeCell ref="C20:H20"/>
    <mergeCell ref="C18:H18"/>
    <mergeCell ref="C19:H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5B32-7C9F-4B25-956F-2B94302E8892}">
  <sheetPr>
    <tabColor theme="4"/>
  </sheetPr>
  <dimension ref="B2:H27"/>
  <sheetViews>
    <sheetView showGridLines="0" topLeftCell="B19" zoomScale="75" zoomScaleNormal="75" workbookViewId="0">
      <selection activeCell="C4" sqref="C4"/>
    </sheetView>
  </sheetViews>
  <sheetFormatPr defaultRowHeight="16.5"/>
  <cols>
    <col min="2" max="2" width="29.7265625" style="2" customWidth="1"/>
    <col min="3" max="4" width="24.6328125" style="2" customWidth="1"/>
    <col min="5" max="6" width="24.6328125" customWidth="1"/>
    <col min="7" max="7" width="7.54296875" customWidth="1"/>
    <col min="8" max="8" width="25.36328125" customWidth="1"/>
  </cols>
  <sheetData>
    <row r="2" spans="2:8" s="94" customFormat="1" ht="108.75" customHeight="1">
      <c r="B2" s="94" t="e" vm="1">
        <v>#VALUE!</v>
      </c>
      <c r="C2" s="94" t="e" vm="2">
        <v>#VALUE!</v>
      </c>
    </row>
    <row r="3" spans="2:8" ht="17.25" thickBot="1"/>
    <row r="4" spans="2:8" ht="17.25" thickBot="1">
      <c r="B4" s="3" t="s">
        <v>49</v>
      </c>
      <c r="C4" s="69" t="s">
        <v>50</v>
      </c>
      <c r="D4" s="70" t="s">
        <v>51</v>
      </c>
      <c r="E4" s="71" t="s">
        <v>52</v>
      </c>
      <c r="F4" s="72" t="s">
        <v>53</v>
      </c>
      <c r="H4" s="67" t="s">
        <v>54</v>
      </c>
    </row>
    <row r="5" spans="2:8" ht="17.25" thickBot="1">
      <c r="E5" s="2"/>
      <c r="F5" s="2"/>
    </row>
    <row r="6" spans="2:8">
      <c r="B6" s="117" t="s">
        <v>55</v>
      </c>
      <c r="C6" s="118"/>
      <c r="D6" s="118"/>
      <c r="E6" s="118"/>
      <c r="F6" s="119"/>
    </row>
    <row r="7" spans="2:8">
      <c r="B7" s="4" t="s">
        <v>7</v>
      </c>
      <c r="C7" s="9">
        <v>700</v>
      </c>
      <c r="D7" s="10">
        <v>700</v>
      </c>
      <c r="E7" s="11">
        <v>600</v>
      </c>
      <c r="F7" s="12">
        <v>600</v>
      </c>
    </row>
    <row r="8" spans="2:8">
      <c r="B8" s="4" t="s">
        <v>9</v>
      </c>
      <c r="C8" s="9" t="s">
        <v>56</v>
      </c>
      <c r="D8" s="10" t="s">
        <v>56</v>
      </c>
      <c r="E8" s="11" t="s">
        <v>56</v>
      </c>
      <c r="F8" s="12" t="s">
        <v>56</v>
      </c>
    </row>
    <row r="9" spans="2:8">
      <c r="B9" s="4" t="s">
        <v>11</v>
      </c>
      <c r="C9" s="13">
        <v>2.12</v>
      </c>
      <c r="D9" s="14">
        <v>2.12</v>
      </c>
      <c r="E9" s="15">
        <v>2</v>
      </c>
      <c r="F9" s="16">
        <v>2</v>
      </c>
    </row>
    <row r="10" spans="2:8">
      <c r="B10" s="4" t="s">
        <v>13</v>
      </c>
      <c r="C10" s="9">
        <v>10.7</v>
      </c>
      <c r="D10" s="10">
        <v>10.7</v>
      </c>
      <c r="E10" s="11">
        <v>9.8000000000000007</v>
      </c>
      <c r="F10" s="12">
        <v>9.8000000000000007</v>
      </c>
    </row>
    <row r="11" spans="2:8">
      <c r="B11" s="4" t="s">
        <v>15</v>
      </c>
      <c r="C11" s="17">
        <f>IFERROR(C9/C10,0)</f>
        <v>0.19813084112149534</v>
      </c>
      <c r="D11" s="17">
        <f>IFERROR(D9/D10,0)</f>
        <v>0.19813084112149534</v>
      </c>
      <c r="E11" s="17">
        <f>IFERROR(E9/E10,0)</f>
        <v>0.2040816326530612</v>
      </c>
      <c r="F11" s="18">
        <f>IFERROR(F9/F10,0)</f>
        <v>0.2040816326530612</v>
      </c>
    </row>
    <row r="12" spans="2:8">
      <c r="B12" s="4" t="s">
        <v>17</v>
      </c>
      <c r="C12" s="8">
        <f>IF(C8='Background Data'!$A$2,C7*0.015,C7*0.02)</f>
        <v>10.5</v>
      </c>
      <c r="D12" s="8">
        <f>IF(D8='Background Data'!$A$2,D7*0.015,D7*0.02)</f>
        <v>10.5</v>
      </c>
      <c r="E12" s="8">
        <f>IF(E8='Background Data'!$A$2,E7*0.015,E7*0.02)</f>
        <v>9</v>
      </c>
      <c r="F12" s="5">
        <f>IF(F8='Background Data'!$A$2,F7*0.015,F7*0.02)</f>
        <v>9</v>
      </c>
    </row>
    <row r="13" spans="2:8">
      <c r="B13" s="4" t="s">
        <v>57</v>
      </c>
      <c r="C13" s="9">
        <v>120</v>
      </c>
      <c r="D13" s="10">
        <v>120</v>
      </c>
      <c r="E13" s="11">
        <v>120</v>
      </c>
      <c r="F13" s="12">
        <v>120</v>
      </c>
    </row>
    <row r="14" spans="2:8">
      <c r="B14" s="4" t="s">
        <v>21</v>
      </c>
      <c r="C14" s="9">
        <v>10</v>
      </c>
      <c r="D14" s="10">
        <v>10</v>
      </c>
      <c r="E14" s="11">
        <v>10</v>
      </c>
      <c r="F14" s="12">
        <v>10</v>
      </c>
    </row>
    <row r="15" spans="2:8" ht="17.25" thickBot="1">
      <c r="B15" s="7" t="s">
        <v>23</v>
      </c>
      <c r="C15" s="73">
        <v>0</v>
      </c>
      <c r="D15" s="74">
        <v>0.26</v>
      </c>
      <c r="E15" s="75">
        <v>0</v>
      </c>
      <c r="F15" s="76">
        <v>0.26</v>
      </c>
    </row>
    <row r="16" spans="2:8">
      <c r="E16" s="2"/>
      <c r="F16" s="2"/>
    </row>
    <row r="17" spans="2:6" ht="17.25" thickBot="1">
      <c r="E17" s="2"/>
      <c r="F17" s="2"/>
    </row>
    <row r="18" spans="2:6">
      <c r="B18" s="120" t="s">
        <v>58</v>
      </c>
      <c r="C18" s="121"/>
      <c r="D18" s="121"/>
      <c r="E18" s="121"/>
      <c r="F18" s="122"/>
    </row>
    <row r="19" spans="2:6">
      <c r="B19" s="4" t="s">
        <v>25</v>
      </c>
      <c r="C19" s="77">
        <v>0</v>
      </c>
      <c r="D19" s="78">
        <v>0</v>
      </c>
      <c r="E19" s="79">
        <v>0</v>
      </c>
      <c r="F19" s="12">
        <v>0</v>
      </c>
    </row>
    <row r="20" spans="2:6">
      <c r="B20" s="4" t="s">
        <v>27</v>
      </c>
      <c r="C20" s="80">
        <v>0</v>
      </c>
      <c r="D20" s="81">
        <v>0</v>
      </c>
      <c r="E20" s="82">
        <v>0</v>
      </c>
      <c r="F20" s="16">
        <v>0</v>
      </c>
    </row>
    <row r="21" spans="2:6">
      <c r="B21" s="6" t="s">
        <v>29</v>
      </c>
      <c r="C21" s="83">
        <v>0</v>
      </c>
      <c r="D21" s="84">
        <v>0</v>
      </c>
      <c r="E21" s="85">
        <v>0</v>
      </c>
      <c r="F21" s="86">
        <v>0</v>
      </c>
    </row>
    <row r="22" spans="2:6" ht="17.25" thickBot="1">
      <c r="B22" s="7" t="s">
        <v>31</v>
      </c>
      <c r="C22" s="87">
        <v>0</v>
      </c>
      <c r="D22" s="88">
        <v>0</v>
      </c>
      <c r="E22" s="89">
        <v>0</v>
      </c>
      <c r="F22" s="90">
        <v>0</v>
      </c>
    </row>
    <row r="23" spans="2:6">
      <c r="E23" s="2"/>
      <c r="F23" s="2"/>
    </row>
    <row r="24" spans="2:6" ht="17.25" thickBot="1">
      <c r="E24" s="2"/>
      <c r="F24" s="2"/>
    </row>
    <row r="25" spans="2:6" ht="17.25" thickBot="1">
      <c r="B25" s="65" t="s">
        <v>59</v>
      </c>
      <c r="C25" s="66">
        <f>'Output - Profitability'!C17-('Output - Profitability'!C10+'Output - Profitability'!C18)</f>
        <v>-249.64485981308411</v>
      </c>
      <c r="D25" s="66">
        <f>'Output - Profitability'!D17-('Output - Profitability'!D10+'Output - Profitability'!D18)</f>
        <v>-252.76485981308409</v>
      </c>
      <c r="E25" s="66">
        <f>'Output - Profitability'!E17-('Output - Profitability'!E10+'Output - Profitability'!E18)</f>
        <v>-220.40816326530609</v>
      </c>
      <c r="F25" s="66">
        <f>'Output - Profitability'!F17-('Output - Profitability'!F10+'Output - Profitability'!F18)</f>
        <v>-223.52816326530609</v>
      </c>
    </row>
    <row r="26" spans="2:6">
      <c r="E26" s="2"/>
      <c r="F26" s="2"/>
    </row>
    <row r="27" spans="2:6" ht="39.75" customHeight="1">
      <c r="B27" s="99" t="s">
        <v>60</v>
      </c>
      <c r="C27" s="99"/>
      <c r="D27" s="99"/>
      <c r="E27" s="99"/>
      <c r="F27" s="99"/>
    </row>
  </sheetData>
  <sheetProtection algorithmName="SHA-512" hashValue="T+smoUc0NIDe85MFlIx4a31sCh+D9fPoe5jMl6J7DOWwC544IJDMBMYSopdS/WcR+yBvJ0dfoFFYDnRPLjD8bg==" saltValue="iIXZ/7jqQx0NPNB5/iP4JQ==" spinCount="100000" sheet="1" objects="1" scenarios="1"/>
  <mergeCells count="3">
    <mergeCell ref="B27:F27"/>
    <mergeCell ref="B6:F6"/>
    <mergeCell ref="B18:F18"/>
  </mergeCells>
  <pageMargins left="0.7" right="0.7" top="0.75" bottom="0.75" header="0.3" footer="0.3"/>
  <pageSetup paperSize="9" scale="31"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93B43014-4F4D-4E00-AC58-8EF4F05708A9}">
          <x14:formula1>
            <xm:f>'Background Data'!$A$2:$A$3</xm:f>
          </x14:formula1>
          <xm:sqref>C8:F8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6037-173E-4DBC-8438-A7E10A056A2B}">
  <sheetPr>
    <tabColor theme="5"/>
  </sheetPr>
  <dimension ref="B2:F24"/>
  <sheetViews>
    <sheetView showGridLines="0" tabSelected="1" zoomScale="80" zoomScaleNormal="80" workbookViewId="0">
      <selection activeCell="C4" sqref="C4"/>
    </sheetView>
  </sheetViews>
  <sheetFormatPr defaultRowHeight="16.5"/>
  <cols>
    <col min="2" max="2" width="29" bestFit="1" customWidth="1"/>
    <col min="3" max="6" width="20.7265625" customWidth="1"/>
  </cols>
  <sheetData>
    <row r="2" spans="2:6" s="94" customFormat="1" ht="97.5" customHeight="1">
      <c r="B2" s="94" t="e" vm="1">
        <v>#VALUE!</v>
      </c>
      <c r="C2" s="103" t="e" vm="2">
        <v>#VALUE!</v>
      </c>
      <c r="D2" s="103"/>
    </row>
    <row r="3" spans="2:6" ht="17.25" thickBot="1"/>
    <row r="4" spans="2:6" ht="17.25" thickBot="1">
      <c r="B4" s="54" t="s">
        <v>61</v>
      </c>
      <c r="C4" s="55" t="str">
        <f>'Data Input'!C4</f>
        <v>Home Outside Wintering 700kg</v>
      </c>
      <c r="D4" s="55" t="str">
        <f>'Data Input'!D4</f>
        <v>Inside Home Wintering 700kg</v>
      </c>
      <c r="E4" s="55" t="str">
        <f>'Data Input'!E4</f>
        <v>Home Outside Wintering 600kg</v>
      </c>
      <c r="F4" s="56" t="str">
        <f>'Data Input'!F4</f>
        <v>Inside Home Wintering 600kg</v>
      </c>
    </row>
    <row r="5" spans="2:6" ht="17.25" thickBot="1">
      <c r="B5" s="2"/>
      <c r="C5" s="2"/>
      <c r="D5" s="2"/>
      <c r="E5" s="2"/>
      <c r="F5" s="2"/>
    </row>
    <row r="6" spans="2:6">
      <c r="B6" s="100" t="s">
        <v>62</v>
      </c>
      <c r="C6" s="101"/>
      <c r="D6" s="101"/>
      <c r="E6" s="101"/>
      <c r="F6" s="102"/>
    </row>
    <row r="7" spans="2:6">
      <c r="B7" s="4" t="s">
        <v>63</v>
      </c>
      <c r="C7" s="17">
        <f>'Data Input'!C12*'Data Input'!C11</f>
        <v>2.080373831775701</v>
      </c>
      <c r="D7" s="17">
        <f>'Data Input'!D12*'Data Input'!D11</f>
        <v>2.080373831775701</v>
      </c>
      <c r="E7" s="17">
        <f>'Data Input'!E12*'Data Input'!E11</f>
        <v>1.8367346938775508</v>
      </c>
      <c r="F7" s="18">
        <f>'Data Input'!F12*'Data Input'!F11</f>
        <v>1.8367346938775508</v>
      </c>
    </row>
    <row r="8" spans="2:6">
      <c r="B8" s="4" t="s">
        <v>64</v>
      </c>
      <c r="C8" s="17">
        <f>IFERROR(C7+('Data Input'!C15/'Data Input'!C14),0)</f>
        <v>2.080373831775701</v>
      </c>
      <c r="D8" s="17">
        <f>IFERROR(D7+('Data Input'!D15/'Data Input'!D14),0)</f>
        <v>2.1063738317757008</v>
      </c>
      <c r="E8" s="17">
        <f>IFERROR(E7+('Data Input'!E15/'Data Input'!E14),0)</f>
        <v>1.8367346938775508</v>
      </c>
      <c r="F8" s="18">
        <f>IFERROR(F7+('Data Input'!F15/'Data Input'!F14),0)</f>
        <v>1.8627346938775509</v>
      </c>
    </row>
    <row r="9" spans="2:6">
      <c r="B9" s="4" t="s">
        <v>65</v>
      </c>
      <c r="C9" s="17">
        <f>C7*'Data Input'!$C$13</f>
        <v>249.64485981308411</v>
      </c>
      <c r="D9" s="17">
        <f>D7*'Data Input'!$D$13</f>
        <v>249.64485981308411</v>
      </c>
      <c r="E9" s="17">
        <f>E7*'Data Input'!$D$13</f>
        <v>220.40816326530609</v>
      </c>
      <c r="F9" s="18">
        <f>F7*'Data Input'!$D$13</f>
        <v>220.40816326530609</v>
      </c>
    </row>
    <row r="10" spans="2:6">
      <c r="B10" s="4" t="s">
        <v>41</v>
      </c>
      <c r="C10" s="17">
        <f>C8*'Data Input'!$C$13</f>
        <v>249.64485981308411</v>
      </c>
      <c r="D10" s="17">
        <f>D8*'Data Input'!$D$13</f>
        <v>252.76485981308409</v>
      </c>
      <c r="E10" s="17">
        <f>E8*'Data Input'!$D$13</f>
        <v>220.40816326530609</v>
      </c>
      <c r="F10" s="18">
        <f>F8*'Data Input'!$D$13</f>
        <v>223.52816326530609</v>
      </c>
    </row>
    <row r="11" spans="2:6" ht="17.25" thickBot="1">
      <c r="B11" s="7" t="s">
        <v>66</v>
      </c>
      <c r="C11" s="68">
        <f>C10*'Data Input'!C14</f>
        <v>2496.4485981308412</v>
      </c>
      <c r="D11" s="68">
        <f>D10*'Data Input'!D14</f>
        <v>2527.648598130841</v>
      </c>
      <c r="E11" s="68">
        <f>E10*'Data Input'!E14</f>
        <v>2204.0816326530608</v>
      </c>
      <c r="F11" s="57">
        <f>F10*'Data Input'!F14</f>
        <v>2235.281632653061</v>
      </c>
    </row>
    <row r="12" spans="2:6" ht="17.25" thickBot="1">
      <c r="B12" s="2"/>
      <c r="C12" s="2"/>
      <c r="D12" s="2"/>
      <c r="E12" s="2"/>
      <c r="F12" s="2"/>
    </row>
    <row r="13" spans="2:6">
      <c r="B13" s="100" t="s">
        <v>67</v>
      </c>
      <c r="C13" s="101"/>
      <c r="D13" s="101"/>
      <c r="E13" s="101"/>
      <c r="F13" s="102"/>
    </row>
    <row r="14" spans="2:6" ht="17.25" thickBot="1">
      <c r="B14" s="7" t="s">
        <v>43</v>
      </c>
      <c r="C14" s="95">
        <f>IFERROR('Data Input'!$C$19/'Data Input'!$C$7,0)</f>
        <v>0</v>
      </c>
      <c r="D14" s="95">
        <f>IFERROR('Data Input'!$D$19/'Data Input'!$D$7,0)</f>
        <v>0</v>
      </c>
      <c r="E14" s="95">
        <f>IFERROR('Data Input'!$E$19/'Data Input'!$E$7,0)</f>
        <v>0</v>
      </c>
      <c r="F14" s="58">
        <f>IFERROR('Data Input'!$F$19/'Data Input'!$F$7,0)</f>
        <v>0</v>
      </c>
    </row>
    <row r="15" spans="2:6" ht="17.25" thickBot="1">
      <c r="B15" s="2"/>
      <c r="C15" s="2"/>
      <c r="D15" s="2"/>
      <c r="E15" s="2"/>
      <c r="F15" s="2"/>
    </row>
    <row r="16" spans="2:6">
      <c r="B16" s="96" t="s">
        <v>68</v>
      </c>
      <c r="C16" s="97"/>
      <c r="D16" s="97"/>
      <c r="E16" s="97"/>
      <c r="F16" s="98"/>
    </row>
    <row r="17" spans="2:6">
      <c r="B17" s="4" t="s">
        <v>69</v>
      </c>
      <c r="C17" s="18">
        <f>('Data Input'!C19*'Data Input'!C22)/100</f>
        <v>0</v>
      </c>
      <c r="D17" s="18">
        <f>('Data Input'!D19*'Data Input'!D22)/100</f>
        <v>0</v>
      </c>
      <c r="E17" s="18">
        <f>('Data Input'!E19*'Data Input'!E22)/100</f>
        <v>0</v>
      </c>
      <c r="F17" s="18">
        <f>('Data Input'!F19*'Data Input'!F22)/100</f>
        <v>0</v>
      </c>
    </row>
    <row r="18" spans="2:6" ht="17.25" thickBot="1">
      <c r="B18" s="7" t="s">
        <v>70</v>
      </c>
      <c r="C18" s="57">
        <f>'Data Input'!C20*'Data Input'!C21</f>
        <v>0</v>
      </c>
      <c r="D18" s="57">
        <f>'Data Input'!D20*'Data Input'!D21</f>
        <v>0</v>
      </c>
      <c r="E18" s="57">
        <f>'Data Input'!E20*'Data Input'!E21</f>
        <v>0</v>
      </c>
      <c r="F18" s="57">
        <f>'Data Input'!F20*'Data Input'!F21</f>
        <v>0</v>
      </c>
    </row>
    <row r="19" spans="2:6">
      <c r="B19" s="2"/>
      <c r="C19" s="2"/>
      <c r="D19" s="2"/>
      <c r="E19" s="2"/>
      <c r="F19" s="2"/>
    </row>
    <row r="20" spans="2:6" ht="17.25" thickBot="1">
      <c r="B20" s="2"/>
      <c r="C20" s="2"/>
      <c r="D20" s="2"/>
      <c r="E20" s="2"/>
      <c r="F20" s="2"/>
    </row>
    <row r="21" spans="2:6">
      <c r="B21" s="59" t="s">
        <v>59</v>
      </c>
      <c r="C21" s="60">
        <f>C17-(C10+C18)</f>
        <v>-249.64485981308411</v>
      </c>
      <c r="D21" s="60">
        <f>D17-(D10+D18)</f>
        <v>-252.76485981308409</v>
      </c>
      <c r="E21" s="60">
        <f t="shared" ref="E21:F21" si="0">E17-(E10+E18)</f>
        <v>-220.40816326530609</v>
      </c>
      <c r="F21" s="61">
        <f t="shared" si="0"/>
        <v>-223.52816326530609</v>
      </c>
    </row>
    <row r="22" spans="2:6" ht="17.25" thickBot="1">
      <c r="B22" s="62" t="s">
        <v>71</v>
      </c>
      <c r="C22" s="63">
        <f>('Output - Profitability'!C17*'Data Input'!C14)-(C11+(C18*'Data Input'!C14))</f>
        <v>-2496.4485981308412</v>
      </c>
      <c r="D22" s="63">
        <f>('Output - Profitability'!D17*'Data Input'!D14)-(D11+(D18*'Data Input'!D14))</f>
        <v>-2527.648598130841</v>
      </c>
      <c r="E22" s="63">
        <f>('Output - Profitability'!E17*'Data Input'!E14)-(E11+(E18*'Data Input'!E14))</f>
        <v>-2204.0816326530608</v>
      </c>
      <c r="F22" s="64">
        <f>('Output - Profitability'!F17*'Data Input'!F14)-(F11+(F18*'Data Input'!F14))</f>
        <v>-2235.281632653061</v>
      </c>
    </row>
    <row r="23" spans="2:6">
      <c r="B23" s="2"/>
      <c r="C23" s="2"/>
      <c r="D23" s="2"/>
      <c r="E23" s="2"/>
      <c r="F23" s="2"/>
    </row>
    <row r="24" spans="2:6" ht="39" customHeight="1">
      <c r="B24" s="99" t="s">
        <v>72</v>
      </c>
      <c r="C24" s="99"/>
      <c r="D24" s="99"/>
      <c r="E24" s="99"/>
      <c r="F24" s="99"/>
    </row>
  </sheetData>
  <sheetProtection algorithmName="SHA-512" hashValue="BeFquCFgrLGcQE9ZU/xiku5xFqSTYMgPeAzZIafodyEYKV3KSpwCgXS4BTxGbo6TQliF6pMn5RY4aZFqsd6H4w==" saltValue="FMwxdm4mf349V7U6hR5PtA==" spinCount="100000" sheet="1" objects="1" scenarios="1"/>
  <mergeCells count="5">
    <mergeCell ref="B16:F16"/>
    <mergeCell ref="B24:F24"/>
    <mergeCell ref="B6:F6"/>
    <mergeCell ref="B13:F13"/>
    <mergeCell ref="C2:D2"/>
  </mergeCells>
  <pageMargins left="0.7" right="0.7" top="0.75" bottom="0.75" header="0.3" footer="0.3"/>
  <pageSetup paperSize="9" scale="35"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3DA4-0999-4068-BF43-3B6B3DE4AE3B}">
  <sheetPr>
    <tabColor rgb="FFC00000"/>
  </sheetPr>
  <dimension ref="B2:N23"/>
  <sheetViews>
    <sheetView showGridLines="0" topLeftCell="C10" zoomScale="60" zoomScaleNormal="60" workbookViewId="0">
      <selection activeCell="D41" sqref="D41"/>
    </sheetView>
  </sheetViews>
  <sheetFormatPr defaultRowHeight="16.5"/>
  <cols>
    <col min="2" max="2" width="18.81640625" bestFit="1" customWidth="1"/>
    <col min="3" max="3" width="11.90625" bestFit="1" customWidth="1"/>
    <col min="4" max="4" width="10.81640625" bestFit="1" customWidth="1"/>
    <col min="5" max="5" width="14.54296875" bestFit="1" customWidth="1"/>
    <col min="6" max="6" width="14.90625" bestFit="1" customWidth="1"/>
    <col min="7" max="7" width="20.90625" bestFit="1" customWidth="1"/>
    <col min="8" max="8" width="15.7265625" bestFit="1" customWidth="1"/>
    <col min="9" max="9" width="10.90625" bestFit="1" customWidth="1"/>
    <col min="11" max="11" width="20" customWidth="1"/>
    <col min="13" max="13" width="11.1796875" bestFit="1" customWidth="1"/>
    <col min="14" max="14" width="12.08984375" bestFit="1" customWidth="1"/>
  </cols>
  <sheetData>
    <row r="2" spans="2:14" s="94" customFormat="1" ht="132.75" customHeight="1">
      <c r="B2" s="103" t="e" vm="1">
        <v>#VALUE!</v>
      </c>
      <c r="C2" s="103"/>
      <c r="D2" s="103" t="e" vm="2">
        <v>#VALUE!</v>
      </c>
      <c r="E2" s="103"/>
      <c r="F2" s="103"/>
    </row>
    <row r="3" spans="2:14" ht="17.25" thickBot="1"/>
    <row r="4" spans="2:14" ht="33.75" thickBot="1">
      <c r="B4" s="25" t="s">
        <v>73</v>
      </c>
      <c r="C4" s="91">
        <v>600</v>
      </c>
      <c r="D4" s="26" t="s">
        <v>74</v>
      </c>
      <c r="E4" s="26"/>
      <c r="F4" s="27"/>
      <c r="G4" s="27"/>
      <c r="H4" s="26"/>
      <c r="I4" s="26"/>
      <c r="J4" s="26"/>
      <c r="K4" s="67" t="s">
        <v>54</v>
      </c>
      <c r="L4" s="29"/>
      <c r="M4" s="29"/>
      <c r="N4" s="21"/>
    </row>
    <row r="5" spans="2:14" ht="21.75">
      <c r="B5" s="25" t="s">
        <v>9</v>
      </c>
      <c r="C5" s="30" t="s">
        <v>56</v>
      </c>
      <c r="D5" s="26"/>
      <c r="E5" s="26"/>
      <c r="F5" s="31"/>
      <c r="G5" s="31"/>
      <c r="H5" s="26"/>
      <c r="I5" s="26"/>
      <c r="J5" s="26"/>
      <c r="K5" s="28"/>
      <c r="L5" s="29"/>
      <c r="M5" s="29"/>
      <c r="N5" s="21"/>
    </row>
    <row r="6" spans="2:14" ht="21.75">
      <c r="B6" s="25" t="s">
        <v>75</v>
      </c>
      <c r="C6" s="32">
        <f>IF('Background Data'!A2=C5,C4*0.015,C4*0.02)</f>
        <v>9</v>
      </c>
      <c r="D6" s="26" t="s">
        <v>76</v>
      </c>
      <c r="E6" s="26"/>
      <c r="F6" s="33"/>
      <c r="G6" s="33"/>
      <c r="H6" s="26"/>
      <c r="I6" s="26"/>
      <c r="J6" s="26"/>
      <c r="K6" s="26"/>
      <c r="L6" s="33"/>
      <c r="M6" s="33"/>
      <c r="N6" s="2"/>
    </row>
    <row r="7" spans="2:14" ht="21.75">
      <c r="B7" s="26"/>
      <c r="C7" s="34"/>
      <c r="D7" s="34"/>
      <c r="E7" s="34"/>
      <c r="F7" s="34"/>
      <c r="G7" s="34"/>
      <c r="H7" s="26"/>
      <c r="I7" s="26"/>
      <c r="J7" s="26"/>
      <c r="K7" s="26"/>
      <c r="L7" s="33"/>
      <c r="M7" s="33"/>
      <c r="N7" s="2"/>
    </row>
    <row r="8" spans="2:14" ht="21.75">
      <c r="B8" s="26"/>
      <c r="C8" s="34"/>
      <c r="D8" s="34"/>
      <c r="E8" s="34"/>
      <c r="F8" s="34"/>
      <c r="G8" s="34"/>
      <c r="H8" s="26"/>
      <c r="I8" s="26"/>
      <c r="J8" s="26"/>
      <c r="K8" s="26"/>
      <c r="L8" s="33"/>
      <c r="M8" s="33"/>
      <c r="N8" s="2"/>
    </row>
    <row r="9" spans="2:14" ht="21.75">
      <c r="B9" s="26"/>
      <c r="C9" s="26"/>
      <c r="D9" s="26"/>
      <c r="E9" s="26"/>
      <c r="F9" s="26"/>
      <c r="G9" s="26"/>
      <c r="H9" s="26"/>
      <c r="I9" s="26"/>
      <c r="J9" s="26"/>
      <c r="K9" s="26"/>
      <c r="L9" s="33"/>
      <c r="M9" s="33"/>
      <c r="N9" s="2"/>
    </row>
    <row r="10" spans="2:14" ht="21.75">
      <c r="B10" s="35" t="s">
        <v>77</v>
      </c>
      <c r="C10" s="36" t="s">
        <v>78</v>
      </c>
      <c r="D10" s="36" t="s">
        <v>79</v>
      </c>
      <c r="E10" s="36" t="s">
        <v>80</v>
      </c>
      <c r="F10" s="36" t="s">
        <v>81</v>
      </c>
      <c r="G10" s="36" t="s">
        <v>82</v>
      </c>
      <c r="H10" s="36" t="s">
        <v>83</v>
      </c>
      <c r="I10" s="36" t="s">
        <v>84</v>
      </c>
      <c r="J10" s="26"/>
      <c r="K10" s="26"/>
      <c r="L10" s="33"/>
      <c r="M10" s="33"/>
      <c r="N10" s="2"/>
    </row>
    <row r="11" spans="2:14" ht="21.75">
      <c r="B11" s="35" t="s">
        <v>85</v>
      </c>
      <c r="C11" s="91">
        <v>28</v>
      </c>
      <c r="D11" s="37">
        <f>C11*E11</f>
        <v>8.4</v>
      </c>
      <c r="E11" s="92">
        <v>0.3</v>
      </c>
      <c r="F11" s="91">
        <v>10.6</v>
      </c>
      <c r="G11" s="92">
        <v>0.13</v>
      </c>
      <c r="H11" s="93">
        <v>40</v>
      </c>
      <c r="I11" s="38">
        <f>((H11/1000)*C11)</f>
        <v>1.1200000000000001</v>
      </c>
      <c r="J11" s="26"/>
      <c r="K11" s="26"/>
      <c r="L11" s="27"/>
      <c r="M11" s="27"/>
      <c r="N11" s="1"/>
    </row>
    <row r="12" spans="2:14" ht="21.75">
      <c r="B12" s="35" t="s">
        <v>86</v>
      </c>
      <c r="C12" s="91"/>
      <c r="D12" s="37">
        <f t="shared" ref="D12:D19" si="0">C12*E12</f>
        <v>0</v>
      </c>
      <c r="E12" s="91"/>
      <c r="F12" s="91"/>
      <c r="G12" s="91"/>
      <c r="H12" s="93"/>
      <c r="I12" s="38">
        <f t="shared" ref="I12:I20" si="1">((H12/1000)*C12)</f>
        <v>0</v>
      </c>
      <c r="J12" s="26"/>
      <c r="K12" s="26"/>
      <c r="L12" s="27"/>
      <c r="M12" s="27"/>
      <c r="N12" s="1"/>
    </row>
    <row r="13" spans="2:14" ht="21.75">
      <c r="B13" s="35" t="s">
        <v>87</v>
      </c>
      <c r="C13" s="91"/>
      <c r="D13" s="37">
        <f t="shared" si="0"/>
        <v>0</v>
      </c>
      <c r="E13" s="91"/>
      <c r="F13" s="91"/>
      <c r="G13" s="91"/>
      <c r="H13" s="93"/>
      <c r="I13" s="38">
        <f t="shared" si="1"/>
        <v>0</v>
      </c>
      <c r="J13" s="26"/>
      <c r="K13" s="45" t="s">
        <v>88</v>
      </c>
      <c r="L13" s="44" t="s">
        <v>89</v>
      </c>
      <c r="M13" s="44" t="s">
        <v>90</v>
      </c>
      <c r="N13" s="1"/>
    </row>
    <row r="14" spans="2:14" ht="21.75">
      <c r="B14" s="35" t="s">
        <v>91</v>
      </c>
      <c r="C14" s="91"/>
      <c r="D14" s="37">
        <f t="shared" si="0"/>
        <v>0</v>
      </c>
      <c r="E14" s="91"/>
      <c r="F14" s="91"/>
      <c r="G14" s="91"/>
      <c r="H14" s="93"/>
      <c r="I14" s="38">
        <f t="shared" si="1"/>
        <v>0</v>
      </c>
      <c r="J14" s="26"/>
      <c r="K14" s="45" t="s">
        <v>92</v>
      </c>
      <c r="L14" s="39">
        <f>SUM(D11:D20)</f>
        <v>9.8000000000000007</v>
      </c>
      <c r="M14" s="37">
        <f>C6</f>
        <v>9</v>
      </c>
      <c r="N14" s="1"/>
    </row>
    <row r="15" spans="2:14" ht="21.75">
      <c r="B15" s="40" t="s">
        <v>93</v>
      </c>
      <c r="C15" s="91"/>
      <c r="D15" s="37">
        <f t="shared" si="0"/>
        <v>0</v>
      </c>
      <c r="E15" s="41">
        <v>0.88</v>
      </c>
      <c r="F15" s="37">
        <v>6.5</v>
      </c>
      <c r="G15" s="41">
        <v>0.04</v>
      </c>
      <c r="H15" s="93"/>
      <c r="I15" s="38">
        <f t="shared" si="1"/>
        <v>0</v>
      </c>
      <c r="J15" s="26"/>
      <c r="K15" s="45" t="s">
        <v>94</v>
      </c>
      <c r="L15" s="39">
        <f>(F11*D11)+(F12*D12)+(F13*D13)+(F14*D14)+(F15*D15)+(F16*D16)+(F17*D17)+(F18*D18)+(F19*D19)+(F20*D20)</f>
        <v>105.84</v>
      </c>
      <c r="M15" s="32">
        <f>IF('Background Data'!A2='Ration &amp; Cost Calculator'!C5,((C4/10)+20),((C4/10)+50))</f>
        <v>80</v>
      </c>
    </row>
    <row r="16" spans="2:14" ht="21.75">
      <c r="B16" s="35" t="s">
        <v>95</v>
      </c>
      <c r="C16" s="91">
        <v>2</v>
      </c>
      <c r="D16" s="37">
        <f t="shared" si="0"/>
        <v>1.4</v>
      </c>
      <c r="E16" s="92">
        <v>0.7</v>
      </c>
      <c r="F16" s="91">
        <v>12</v>
      </c>
      <c r="G16" s="92">
        <v>0.16</v>
      </c>
      <c r="H16" s="93">
        <v>440</v>
      </c>
      <c r="I16" s="38">
        <f t="shared" si="1"/>
        <v>0.88</v>
      </c>
      <c r="J16" s="26"/>
      <c r="K16" s="46" t="s">
        <v>96</v>
      </c>
      <c r="L16" s="47">
        <f>((((G11*D11)+(G12*D12)+(G13*D13)+(G14*D14)+(G15*D15)+(G16*D16)+(G17*D17)+(G18*D18)+(G19*D19)+(G20*D20))/L14)*100)</f>
        <v>13.428571428571429</v>
      </c>
      <c r="M16" s="48">
        <f>IF('Background Data'!A2='Ration &amp; Cost Calculator'!C5,9,12)</f>
        <v>9</v>
      </c>
    </row>
    <row r="17" spans="2:14" ht="21.6" customHeight="1">
      <c r="B17" s="35" t="s">
        <v>95</v>
      </c>
      <c r="C17" s="91"/>
      <c r="D17" s="37">
        <f t="shared" si="0"/>
        <v>0</v>
      </c>
      <c r="E17" s="91"/>
      <c r="F17" s="91"/>
      <c r="G17" s="91"/>
      <c r="H17" s="93"/>
      <c r="I17" s="38">
        <f t="shared" si="1"/>
        <v>0</v>
      </c>
      <c r="J17" s="26"/>
      <c r="K17" s="125" t="s">
        <v>97</v>
      </c>
      <c r="L17" s="125"/>
      <c r="M17" s="125"/>
      <c r="N17" s="125"/>
    </row>
    <row r="18" spans="2:14" ht="43.5">
      <c r="B18" s="42" t="s">
        <v>98</v>
      </c>
      <c r="C18" s="91"/>
      <c r="D18" s="37">
        <f t="shared" si="0"/>
        <v>0</v>
      </c>
      <c r="E18" s="91"/>
      <c r="F18" s="91"/>
      <c r="G18" s="91"/>
      <c r="H18" s="93"/>
      <c r="I18" s="38">
        <f t="shared" si="1"/>
        <v>0</v>
      </c>
      <c r="J18" s="26"/>
      <c r="K18" s="125"/>
      <c r="L18" s="125"/>
      <c r="M18" s="125"/>
      <c r="N18" s="125"/>
    </row>
    <row r="19" spans="2:14" ht="32.450000000000003" customHeight="1">
      <c r="B19" s="35" t="s">
        <v>99</v>
      </c>
      <c r="C19" s="91"/>
      <c r="D19" s="37">
        <f t="shared" si="0"/>
        <v>0</v>
      </c>
      <c r="E19" s="91"/>
      <c r="F19" s="91"/>
      <c r="G19" s="91"/>
      <c r="H19" s="93"/>
      <c r="I19" s="38">
        <f t="shared" si="1"/>
        <v>0</v>
      </c>
      <c r="J19" s="26"/>
      <c r="K19" s="125"/>
      <c r="L19" s="125"/>
      <c r="M19" s="125"/>
      <c r="N19" s="125"/>
    </row>
    <row r="20" spans="2:14" ht="21.75">
      <c r="B20" s="35" t="s">
        <v>100</v>
      </c>
      <c r="C20" s="91"/>
      <c r="D20" s="37">
        <f>C20*E20</f>
        <v>0</v>
      </c>
      <c r="E20" s="41">
        <v>0.98</v>
      </c>
      <c r="F20" s="37">
        <v>0</v>
      </c>
      <c r="G20" s="41">
        <v>0</v>
      </c>
      <c r="H20" s="91"/>
      <c r="I20" s="38">
        <f t="shared" si="1"/>
        <v>0</v>
      </c>
      <c r="J20" s="26"/>
      <c r="K20" s="26"/>
      <c r="L20" s="26"/>
      <c r="M20" s="26"/>
    </row>
    <row r="21" spans="2:14" ht="21.75">
      <c r="B21" s="26"/>
      <c r="C21" s="26"/>
      <c r="D21" s="26"/>
      <c r="E21" s="26"/>
      <c r="F21" s="26"/>
      <c r="G21" s="26"/>
      <c r="H21" s="26"/>
      <c r="I21" s="26"/>
      <c r="J21" s="26"/>
      <c r="K21" s="26"/>
      <c r="L21" s="26"/>
      <c r="M21" s="26"/>
    </row>
    <row r="22" spans="2:14" ht="22.5" thickBot="1">
      <c r="B22" s="26"/>
      <c r="C22" s="26"/>
      <c r="D22" s="26"/>
      <c r="E22" s="26"/>
      <c r="F22" s="26"/>
      <c r="G22" s="26"/>
      <c r="H22" s="26"/>
      <c r="I22" s="26"/>
      <c r="J22" s="26"/>
      <c r="K22" s="26"/>
      <c r="L22" s="26"/>
      <c r="M22" s="26"/>
    </row>
    <row r="23" spans="2:14" ht="22.5" thickBot="1">
      <c r="B23" s="26"/>
      <c r="C23" s="26"/>
      <c r="D23" s="26"/>
      <c r="E23" s="26"/>
      <c r="F23" s="123" t="s">
        <v>101</v>
      </c>
      <c r="G23" s="124"/>
      <c r="H23" s="124"/>
      <c r="I23" s="43">
        <f>SUM(I11:I20)</f>
        <v>2</v>
      </c>
      <c r="J23" s="26"/>
      <c r="K23" s="26"/>
      <c r="L23" s="26"/>
      <c r="M23" s="26"/>
    </row>
  </sheetData>
  <sheetProtection algorithmName="SHA-512" hashValue="TMniuSc0OeInpHW1RfNRU4C975Fve8wLOUeC7wcO+B7aYhikFfG7sOapYb+2ev174t9GXP9Bs3/jgQ39uIz0RA==" saltValue="ydR2LPtGUS8xmPaIfLMGgQ==" spinCount="100000" sheet="1" objects="1" scenarios="1"/>
  <mergeCells count="4">
    <mergeCell ref="F23:H23"/>
    <mergeCell ref="K17:N19"/>
    <mergeCell ref="B2:C2"/>
    <mergeCell ref="D2:F2"/>
  </mergeCells>
  <conditionalFormatting sqref="L14">
    <cfRule type="cellIs" dxfId="2" priority="3" operator="lessThan">
      <formula>$M$14</formula>
    </cfRule>
  </conditionalFormatting>
  <conditionalFormatting sqref="L15">
    <cfRule type="cellIs" dxfId="1" priority="2" operator="lessThan">
      <formula>$M$15</formula>
    </cfRule>
  </conditionalFormatting>
  <conditionalFormatting sqref="L16">
    <cfRule type="cellIs" dxfId="0" priority="1" operator="lessThan">
      <formula>$M$16</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showInputMessage="1" showErrorMessage="1" xr:uid="{EBBAA6BD-4CA4-4994-BA4E-0A0B5B04F0DE}">
          <x14:formula1>
            <xm:f>'Background Data'!$A$2:$A$3</xm:f>
          </x14:formula1>
          <xm:sqref>F5:G5 C5:D5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5917D-CE64-4248-ACD4-02FE00D7EFC6}">
  <dimension ref="A1:D10"/>
  <sheetViews>
    <sheetView workbookViewId="0"/>
  </sheetViews>
  <sheetFormatPr defaultRowHeight="16.5"/>
  <cols>
    <col min="1" max="1" width="15.08984375" customWidth="1"/>
    <col min="2" max="2" width="16.90625" customWidth="1"/>
  </cols>
  <sheetData>
    <row r="1" spans="1:4">
      <c r="A1" t="s">
        <v>9</v>
      </c>
      <c r="B1" t="s">
        <v>102</v>
      </c>
    </row>
    <row r="2" spans="1:4">
      <c r="A2" t="s">
        <v>56</v>
      </c>
      <c r="B2">
        <v>1.5</v>
      </c>
      <c r="D2" s="22"/>
    </row>
    <row r="3" spans="1:4">
      <c r="A3" t="s">
        <v>103</v>
      </c>
      <c r="B3">
        <v>2</v>
      </c>
      <c r="D3" s="22"/>
    </row>
    <row r="4" spans="1:4">
      <c r="D4" s="23"/>
    </row>
    <row r="5" spans="1:4">
      <c r="D5" s="23"/>
    </row>
    <row r="6" spans="1:4">
      <c r="D6" s="22"/>
    </row>
    <row r="7" spans="1:4">
      <c r="D7" s="22"/>
    </row>
    <row r="8" spans="1:4">
      <c r="D8" s="24"/>
    </row>
    <row r="9" spans="1:4">
      <c r="D9" s="22"/>
    </row>
    <row r="10" spans="1:4">
      <c r="D10" s="2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56F0E6DC9A88429D46418937CFD55C" ma:contentTypeVersion="13" ma:contentTypeDescription="Create a new document." ma:contentTypeScope="" ma:versionID="e9829d1ad7abe2529b9a149bc91e9dc6">
  <xsd:schema xmlns:xsd="http://www.w3.org/2001/XMLSchema" xmlns:xs="http://www.w3.org/2001/XMLSchema" xmlns:p="http://schemas.microsoft.com/office/2006/metadata/properties" xmlns:ns2="bdf436d4-3522-4983-8bc2-8b2296e715af" xmlns:ns3="83c57415-76a2-454a-ad2f-968b356991d4" targetNamespace="http://schemas.microsoft.com/office/2006/metadata/properties" ma:root="true" ma:fieldsID="215ec2c65707b1e34ff1ba9a6dbf52ad" ns2:_="" ns3:_="">
    <xsd:import namespace="bdf436d4-3522-4983-8bc2-8b2296e715af"/>
    <xsd:import namespace="83c57415-76a2-454a-ad2f-968b356991d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f436d4-3522-4983-8bc2-8b2296e715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21d472-9d2b-48c9-93bc-034c4aa24b1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57415-76a2-454a-ad2f-968b356991d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f436d4-3522-4983-8bc2-8b2296e715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2549B4-B6A9-4230-AFAB-8998FDB4FE73}"/>
</file>

<file path=customXml/itemProps2.xml><?xml version="1.0" encoding="utf-8"?>
<ds:datastoreItem xmlns:ds="http://schemas.openxmlformats.org/officeDocument/2006/customXml" ds:itemID="{2DFE1FEE-6399-4508-BB01-650744D220C1}"/>
</file>

<file path=customXml/itemProps3.xml><?xml version="1.0" encoding="utf-8"?>
<ds:datastoreItem xmlns:ds="http://schemas.openxmlformats.org/officeDocument/2006/customXml" ds:itemID="{67C1188B-046D-496A-B851-0341ED985775}"/>
</file>

<file path=docProps/app.xml><?xml version="1.0" encoding="utf-8"?>
<Properties xmlns="http://schemas.openxmlformats.org/officeDocument/2006/extended-properties" xmlns:vt="http://schemas.openxmlformats.org/officeDocument/2006/docPropsVTypes">
  <Application>Microsoft Excel Online</Application>
  <Manager/>
  <Company>SRUC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Lorna Shaw</dc:creator>
  <cp:keywords/>
  <dc:description/>
  <cp:lastModifiedBy>Jacalyn Laird</cp:lastModifiedBy>
  <cp:revision/>
  <dcterms:created xsi:type="dcterms:W3CDTF">2025-04-15T07:58:09Z</dcterms:created>
  <dcterms:modified xsi:type="dcterms:W3CDTF">2026-10-22T15:53:05Z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0x010100A756F0E6DC9A88429D46418937CFD55C</vt:lpwstr>
  </property>
  <property fmtid="{D5CDD505-2E9C-101B-9397-08002B2CF9AE}" pid="3" name="MediaServiceImageTags">
    <vt:lpwstr/>
  </property>
</Properties>
</file>